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2015" sheetId="16" r:id="rId1"/>
    <sheet name="2014" sheetId="1" r:id="rId2"/>
    <sheet name="2013 (2)" sheetId="2" r:id="rId3"/>
    <sheet name="2012 (2)" sheetId="3" r:id="rId4"/>
    <sheet name="2011" sheetId="4" r:id="rId5"/>
    <sheet name="2010" sheetId="5" r:id="rId6"/>
    <sheet name="2009" sheetId="6" r:id="rId7"/>
    <sheet name="2008" sheetId="7" r:id="rId8"/>
    <sheet name="2007 (2)" sheetId="8" r:id="rId9"/>
    <sheet name="2006 (2)" sheetId="9" r:id="rId10"/>
    <sheet name="2005 (2)" sheetId="10" r:id="rId11"/>
    <sheet name="2004 (2)" sheetId="11" r:id="rId12"/>
    <sheet name="2003 (2)" sheetId="12" r:id="rId13"/>
    <sheet name="2002 (2)" sheetId="13" r:id="rId14"/>
    <sheet name="2001 (2)" sheetId="14" r:id="rId15"/>
    <sheet name="1999" sheetId="15" r:id="rId16"/>
  </sheets>
  <definedNames>
    <definedName name="_xlnm.Print_Area" localSheetId="15">'1999'!$A$1:$N$27</definedName>
    <definedName name="_xlnm.Print_Area" localSheetId="14">'2001 (2)'!$A$1:$N$27</definedName>
    <definedName name="_xlnm.Print_Area" localSheetId="13">'2002 (2)'!$A$1:$N$27</definedName>
    <definedName name="_xlnm.Print_Area" localSheetId="12">'2003 (2)'!$A$1:$N$27</definedName>
    <definedName name="_xlnm.Print_Area" localSheetId="11">'2004 (2)'!$A$1:$N$34</definedName>
    <definedName name="_xlnm.Print_Area" localSheetId="10">'2005 (2)'!$A$1:$M$34</definedName>
    <definedName name="_xlnm.Print_Area" localSheetId="9">'2006 (2)'!$A$1:$M$34</definedName>
    <definedName name="_xlnm.Print_Area" localSheetId="8">'2007 (2)'!$A$1:$M$34</definedName>
    <definedName name="_xlnm.Print_Area" localSheetId="7">'2008'!$A$1:$M$34</definedName>
    <definedName name="_xlnm.Print_Area" localSheetId="6">'2009'!$A$1:$M$35</definedName>
    <definedName name="_xlnm.Print_Area" localSheetId="5">'2010'!$A$1:$M$35</definedName>
    <definedName name="_xlnm.Print_Area" localSheetId="4">'2011'!$A$1:$M$35</definedName>
    <definedName name="_xlnm.Print_Area" localSheetId="3">'2012 (2)'!$A$1:$M$35</definedName>
    <definedName name="_xlnm.Print_Area" localSheetId="2">'2013 (2)'!$A$1:$M$35</definedName>
    <definedName name="_xlnm.Print_Area" localSheetId="1">'2014'!$A$1:$M$35</definedName>
  </definedNames>
  <calcPr calcId="152511"/>
</workbook>
</file>

<file path=xl/calcChain.xml><?xml version="1.0" encoding="utf-8"?>
<calcChain xmlns="http://schemas.openxmlformats.org/spreadsheetml/2006/main">
  <c r="L31" i="16" l="1"/>
  <c r="L10" i="16"/>
  <c r="B34" i="16" l="1"/>
  <c r="L36" i="16"/>
  <c r="L33" i="16"/>
  <c r="L15" i="16"/>
  <c r="J36" i="16"/>
  <c r="H36" i="16"/>
  <c r="F36" i="16"/>
  <c r="D36" i="16"/>
  <c r="B36" i="16"/>
  <c r="J33" i="16"/>
  <c r="H33" i="16"/>
  <c r="F33" i="16"/>
  <c r="D33" i="16"/>
  <c r="B33" i="16"/>
  <c r="J27" i="16"/>
  <c r="H27" i="16"/>
  <c r="F27" i="16"/>
  <c r="D27" i="16"/>
  <c r="B27" i="16"/>
  <c r="L28" i="16"/>
  <c r="B29" i="16"/>
  <c r="B28" i="16"/>
  <c r="D29" i="16"/>
  <c r="D28" i="16"/>
  <c r="F29" i="16"/>
  <c r="F28" i="16"/>
  <c r="F35" i="16" s="1"/>
  <c r="F37" i="16" s="1"/>
  <c r="H29" i="16"/>
  <c r="H28" i="16"/>
  <c r="J29" i="16"/>
  <c r="J28" i="16"/>
  <c r="J35" i="16" s="1"/>
  <c r="J37" i="16" s="1"/>
  <c r="J15" i="16"/>
  <c r="H15" i="16"/>
  <c r="F15" i="16"/>
  <c r="D15" i="16"/>
  <c r="B15" i="16"/>
  <c r="B12" i="16"/>
  <c r="D12" i="16"/>
  <c r="F12" i="16"/>
  <c r="H12" i="16"/>
  <c r="J12" i="16"/>
  <c r="B13" i="16"/>
  <c r="F13" i="16"/>
  <c r="L13" i="16"/>
  <c r="F5" i="16"/>
  <c r="B6" i="16"/>
  <c r="F6" i="16"/>
  <c r="F14" i="16" s="1"/>
  <c r="F16" i="16" s="1"/>
  <c r="L6" i="16"/>
  <c r="L34" i="16"/>
  <c r="J31" i="16"/>
  <c r="H31" i="16"/>
  <c r="F31" i="16"/>
  <c r="D31" i="16"/>
  <c r="B31" i="16"/>
  <c r="J30" i="16"/>
  <c r="H30" i="16"/>
  <c r="F30" i="16"/>
  <c r="D30" i="16"/>
  <c r="D34" i="16" s="1"/>
  <c r="B30" i="16"/>
  <c r="L12" i="16"/>
  <c r="J10" i="16"/>
  <c r="H10" i="16"/>
  <c r="F10" i="16"/>
  <c r="D10" i="16"/>
  <c r="B10" i="16"/>
  <c r="J7" i="16"/>
  <c r="H7" i="16"/>
  <c r="F7" i="16"/>
  <c r="D7" i="16"/>
  <c r="B7" i="16"/>
  <c r="J5" i="16"/>
  <c r="H5" i="16"/>
  <c r="D5" i="16"/>
  <c r="B5" i="16"/>
  <c r="B5" i="15"/>
  <c r="D5" i="15"/>
  <c r="F5" i="15"/>
  <c r="H5" i="15"/>
  <c r="J5" i="15"/>
  <c r="L6" i="15"/>
  <c r="L12" i="15" s="1"/>
  <c r="D7" i="15"/>
  <c r="D6" i="15" s="1"/>
  <c r="H7" i="15"/>
  <c r="H6" i="15" s="1"/>
  <c r="J7" i="15"/>
  <c r="F9" i="15"/>
  <c r="L9" i="15"/>
  <c r="B11" i="15"/>
  <c r="D11" i="15"/>
  <c r="L11" i="15"/>
  <c r="B18" i="15"/>
  <c r="B19" i="15"/>
  <c r="D18" i="15"/>
  <c r="F18" i="15"/>
  <c r="F19" i="15" s="1"/>
  <c r="H18" i="15"/>
  <c r="H19" i="15" s="1"/>
  <c r="J18" i="15"/>
  <c r="L19" i="15"/>
  <c r="D20" i="15"/>
  <c r="H20" i="15"/>
  <c r="J20" i="15"/>
  <c r="B21" i="15"/>
  <c r="D21" i="15"/>
  <c r="D19" i="15" s="1"/>
  <c r="D25" i="15" s="1"/>
  <c r="F21" i="15"/>
  <c r="F24" i="15"/>
  <c r="H21" i="15"/>
  <c r="J21" i="15"/>
  <c r="J19" i="15" s="1"/>
  <c r="J22" i="15"/>
  <c r="L22" i="15"/>
  <c r="D22" i="15"/>
  <c r="B24" i="15"/>
  <c r="D24" i="15"/>
  <c r="H24" i="15"/>
  <c r="L24" i="15"/>
  <c r="L25" i="15"/>
  <c r="L5" i="14"/>
  <c r="D5" i="14"/>
  <c r="L6" i="14"/>
  <c r="D7" i="14"/>
  <c r="H7" i="14"/>
  <c r="J7" i="14"/>
  <c r="L9" i="14"/>
  <c r="B18" i="14"/>
  <c r="B19" i="14" s="1"/>
  <c r="J18" i="14"/>
  <c r="J19" i="14" s="1"/>
  <c r="L18" i="14"/>
  <c r="F18" i="14" s="1"/>
  <c r="D18" i="14"/>
  <c r="F19" i="14"/>
  <c r="L19" i="14"/>
  <c r="D20" i="14"/>
  <c r="H20" i="14"/>
  <c r="J20" i="14"/>
  <c r="B21" i="14"/>
  <c r="D21" i="14"/>
  <c r="F21" i="14"/>
  <c r="H21" i="14"/>
  <c r="J21" i="14"/>
  <c r="B22" i="14"/>
  <c r="J22" i="14"/>
  <c r="L22" i="14"/>
  <c r="F22" i="14" s="1"/>
  <c r="D22" i="14"/>
  <c r="B24" i="14"/>
  <c r="D24" i="14"/>
  <c r="J24" i="14"/>
  <c r="J25" i="14" s="1"/>
  <c r="L24" i="14"/>
  <c r="B25" i="14"/>
  <c r="L25" i="14"/>
  <c r="B5" i="13"/>
  <c r="B6" i="13"/>
  <c r="D5" i="13"/>
  <c r="D11" i="13" s="1"/>
  <c r="F5" i="13"/>
  <c r="F6" i="13"/>
  <c r="F12" i="13" s="1"/>
  <c r="H5" i="13"/>
  <c r="J5" i="13"/>
  <c r="L6" i="13"/>
  <c r="D7" i="13"/>
  <c r="H7" i="13"/>
  <c r="J7" i="13"/>
  <c r="J11" i="13" s="1"/>
  <c r="F9" i="13"/>
  <c r="L9" i="13"/>
  <c r="B11" i="13"/>
  <c r="F11" i="13"/>
  <c r="L11" i="13"/>
  <c r="L12" i="13" s="1"/>
  <c r="B18" i="13"/>
  <c r="B19" i="13"/>
  <c r="D18" i="13"/>
  <c r="F18" i="13"/>
  <c r="F19" i="13" s="1"/>
  <c r="H18" i="13"/>
  <c r="J18" i="13"/>
  <c r="L19" i="13"/>
  <c r="D20" i="13"/>
  <c r="H20" i="13"/>
  <c r="J20" i="13"/>
  <c r="J19" i="13" s="1"/>
  <c r="B21" i="13"/>
  <c r="D21" i="13"/>
  <c r="D19" i="13" s="1"/>
  <c r="F21" i="13"/>
  <c r="H21" i="13"/>
  <c r="J21" i="13"/>
  <c r="J22" i="13"/>
  <c r="L22" i="13"/>
  <c r="D22" i="13"/>
  <c r="B24" i="13"/>
  <c r="D24" i="13"/>
  <c r="H24" i="13"/>
  <c r="L24" i="13"/>
  <c r="L25" i="13"/>
  <c r="B5" i="12"/>
  <c r="D5" i="12"/>
  <c r="D6" i="12" s="1"/>
  <c r="F5" i="12"/>
  <c r="H5" i="12"/>
  <c r="J5" i="12"/>
  <c r="B6" i="12"/>
  <c r="L6" i="12"/>
  <c r="L12" i="12" s="1"/>
  <c r="D7" i="12"/>
  <c r="H7" i="12"/>
  <c r="J7" i="12"/>
  <c r="J6" i="12"/>
  <c r="L9" i="12"/>
  <c r="D9" i="12"/>
  <c r="B11" i="12"/>
  <c r="L11" i="12"/>
  <c r="B18" i="12"/>
  <c r="D18" i="12"/>
  <c r="F18" i="12"/>
  <c r="H18" i="12"/>
  <c r="H19" i="12"/>
  <c r="J18" i="12"/>
  <c r="B19" i="12"/>
  <c r="L19" i="12"/>
  <c r="D20" i="12"/>
  <c r="H20" i="12"/>
  <c r="J20" i="12"/>
  <c r="J19" i="12"/>
  <c r="B21" i="12"/>
  <c r="D21" i="12"/>
  <c r="F21" i="12"/>
  <c r="H21" i="12"/>
  <c r="J21" i="12"/>
  <c r="J22" i="12"/>
  <c r="L22" i="12"/>
  <c r="B24" i="12"/>
  <c r="D24" i="12"/>
  <c r="J24" i="12"/>
  <c r="L24" i="12"/>
  <c r="J25" i="12"/>
  <c r="B5" i="11"/>
  <c r="B6" i="11" s="1"/>
  <c r="D5" i="11"/>
  <c r="F5" i="11"/>
  <c r="F6" i="11" s="1"/>
  <c r="H5" i="11"/>
  <c r="J5" i="11"/>
  <c r="O5" i="11"/>
  <c r="L6" i="11"/>
  <c r="D7" i="11"/>
  <c r="D6" i="11"/>
  <c r="H7" i="11"/>
  <c r="J7" i="11"/>
  <c r="J6" i="11"/>
  <c r="L9" i="11"/>
  <c r="H9" i="11" s="1"/>
  <c r="B11" i="11"/>
  <c r="L11" i="11"/>
  <c r="B12" i="11"/>
  <c r="L12" i="11"/>
  <c r="B22" i="11"/>
  <c r="B23" i="11" s="1"/>
  <c r="D22" i="11"/>
  <c r="F22" i="11"/>
  <c r="H22" i="11"/>
  <c r="J22" i="11"/>
  <c r="L23" i="11"/>
  <c r="D24" i="11"/>
  <c r="H24" i="11"/>
  <c r="H23" i="11"/>
  <c r="J24" i="11"/>
  <c r="B25" i="11"/>
  <c r="D25" i="11"/>
  <c r="F25" i="11"/>
  <c r="H25" i="11"/>
  <c r="J25" i="11"/>
  <c r="J26" i="11"/>
  <c r="L26" i="11"/>
  <c r="D26" i="11" s="1"/>
  <c r="L28" i="11"/>
  <c r="B29" i="11"/>
  <c r="D29" i="11"/>
  <c r="J29" i="11"/>
  <c r="L29" i="11"/>
  <c r="B5" i="10"/>
  <c r="D5" i="10"/>
  <c r="F5" i="10"/>
  <c r="H5" i="10"/>
  <c r="J5" i="10"/>
  <c r="L6" i="10"/>
  <c r="B7" i="10"/>
  <c r="D7" i="10"/>
  <c r="D6" i="10" s="1"/>
  <c r="F7" i="10"/>
  <c r="F12" i="10" s="1"/>
  <c r="H7" i="10"/>
  <c r="H6" i="10"/>
  <c r="H13" i="10" s="1"/>
  <c r="J7" i="10"/>
  <c r="B9" i="10"/>
  <c r="J9" i="10"/>
  <c r="L9" i="10"/>
  <c r="F9" i="10" s="1"/>
  <c r="D9" i="10"/>
  <c r="B11" i="10"/>
  <c r="D11" i="10"/>
  <c r="F11" i="10"/>
  <c r="H11" i="10"/>
  <c r="J11" i="10"/>
  <c r="L11" i="10"/>
  <c r="M11" i="10"/>
  <c r="O11" i="10"/>
  <c r="B12" i="10"/>
  <c r="L12" i="10"/>
  <c r="B22" i="10"/>
  <c r="B23" i="10"/>
  <c r="D22" i="10"/>
  <c r="F22" i="10"/>
  <c r="F23" i="10" s="1"/>
  <c r="H22" i="10"/>
  <c r="J22" i="10"/>
  <c r="L23" i="10"/>
  <c r="B24" i="10"/>
  <c r="D24" i="10"/>
  <c r="F24" i="10"/>
  <c r="H24" i="10"/>
  <c r="J24" i="10"/>
  <c r="J23" i="10" s="1"/>
  <c r="B25" i="10"/>
  <c r="D25" i="10"/>
  <c r="D23" i="10" s="1"/>
  <c r="F25" i="10"/>
  <c r="H25" i="10"/>
  <c r="H29" i="10" s="1"/>
  <c r="J25" i="10"/>
  <c r="J26" i="10"/>
  <c r="L26" i="10"/>
  <c r="D26" i="10"/>
  <c r="J28" i="10"/>
  <c r="L28" i="10"/>
  <c r="B29" i="10"/>
  <c r="D29" i="10"/>
  <c r="L29" i="10"/>
  <c r="L30" i="10"/>
  <c r="J33" i="10"/>
  <c r="L33" i="10"/>
  <c r="B5" i="9"/>
  <c r="D5" i="9"/>
  <c r="F5" i="9"/>
  <c r="H5" i="9"/>
  <c r="H6" i="9"/>
  <c r="H13" i="9" s="1"/>
  <c r="J5" i="9"/>
  <c r="L6" i="9"/>
  <c r="B7" i="9"/>
  <c r="B6" i="9"/>
  <c r="D7" i="9"/>
  <c r="F7" i="9"/>
  <c r="H7" i="9"/>
  <c r="J7" i="9"/>
  <c r="J6" i="9"/>
  <c r="L9" i="9"/>
  <c r="D9" i="9"/>
  <c r="H11" i="9"/>
  <c r="L11" i="9"/>
  <c r="O11" i="9"/>
  <c r="B12" i="9"/>
  <c r="F12" i="9"/>
  <c r="J12" i="9"/>
  <c r="L12" i="9"/>
  <c r="B22" i="9"/>
  <c r="D22" i="9"/>
  <c r="F22" i="9"/>
  <c r="H22" i="9"/>
  <c r="J22" i="9"/>
  <c r="L23" i="9"/>
  <c r="B24" i="9"/>
  <c r="D24" i="9"/>
  <c r="D28" i="9" s="1"/>
  <c r="F24" i="9"/>
  <c r="H24" i="9"/>
  <c r="H23" i="9"/>
  <c r="H30" i="9" s="1"/>
  <c r="J24" i="9"/>
  <c r="B25" i="9"/>
  <c r="B23" i="9" s="1"/>
  <c r="B30" i="9" s="1"/>
  <c r="D25" i="9"/>
  <c r="D23" i="9" s="1"/>
  <c r="F25" i="9"/>
  <c r="H25" i="9"/>
  <c r="J25" i="9"/>
  <c r="L26" i="9"/>
  <c r="D26" i="9"/>
  <c r="H28" i="9"/>
  <c r="J28" i="9"/>
  <c r="L28" i="9"/>
  <c r="B29" i="9"/>
  <c r="D29" i="9"/>
  <c r="H29" i="9"/>
  <c r="L29" i="9"/>
  <c r="B5" i="8"/>
  <c r="B6" i="8" s="1"/>
  <c r="D5" i="8"/>
  <c r="F5" i="8"/>
  <c r="H5" i="8"/>
  <c r="J5" i="8"/>
  <c r="L6" i="8"/>
  <c r="B7" i="8"/>
  <c r="D7" i="8"/>
  <c r="D12" i="8" s="1"/>
  <c r="F7" i="8"/>
  <c r="F6" i="8"/>
  <c r="F13" i="8" s="1"/>
  <c r="H7" i="8"/>
  <c r="J7" i="8"/>
  <c r="J12" i="8" s="1"/>
  <c r="L9" i="8"/>
  <c r="D9" i="8" s="1"/>
  <c r="D11" i="8"/>
  <c r="L11" i="8"/>
  <c r="O11" i="8"/>
  <c r="B12" i="8"/>
  <c r="F12" i="8"/>
  <c r="L12" i="8"/>
  <c r="B22" i="8"/>
  <c r="D22" i="8"/>
  <c r="F22" i="8"/>
  <c r="H22" i="8"/>
  <c r="J22" i="8"/>
  <c r="L23" i="8"/>
  <c r="B24" i="8"/>
  <c r="D24" i="8"/>
  <c r="F24" i="8"/>
  <c r="F29" i="8" s="1"/>
  <c r="H24" i="8"/>
  <c r="H23" i="8"/>
  <c r="H30" i="8" s="1"/>
  <c r="J24" i="8"/>
  <c r="B25" i="8"/>
  <c r="D25" i="8"/>
  <c r="F25" i="8"/>
  <c r="F23" i="8" s="1"/>
  <c r="H25" i="8"/>
  <c r="J25" i="8"/>
  <c r="L26" i="8"/>
  <c r="D26" i="8"/>
  <c r="H28" i="8"/>
  <c r="L28" i="8"/>
  <c r="B29" i="8"/>
  <c r="H29" i="8"/>
  <c r="L29" i="8"/>
  <c r="L30" i="8"/>
  <c r="B5" i="7"/>
  <c r="D5" i="7"/>
  <c r="F5" i="7"/>
  <c r="H5" i="7"/>
  <c r="J5" i="7"/>
  <c r="L6" i="7"/>
  <c r="B7" i="7"/>
  <c r="B6" i="7"/>
  <c r="D7" i="7"/>
  <c r="F7" i="7"/>
  <c r="H7" i="7"/>
  <c r="H6" i="7" s="1"/>
  <c r="J7" i="7"/>
  <c r="J6" i="7"/>
  <c r="J13" i="7" s="1"/>
  <c r="L9" i="7"/>
  <c r="D9" i="7"/>
  <c r="L11" i="7"/>
  <c r="O11" i="7"/>
  <c r="B12" i="7"/>
  <c r="F12" i="7"/>
  <c r="J12" i="7"/>
  <c r="L12" i="7"/>
  <c r="B22" i="7"/>
  <c r="D22" i="7"/>
  <c r="F22" i="7"/>
  <c r="H22" i="7"/>
  <c r="H23" i="7" s="1"/>
  <c r="J22" i="7"/>
  <c r="J23" i="7"/>
  <c r="L23" i="7"/>
  <c r="B24" i="7"/>
  <c r="D24" i="7"/>
  <c r="D23" i="7"/>
  <c r="D30" i="7" s="1"/>
  <c r="F24" i="7"/>
  <c r="H24" i="7"/>
  <c r="J24" i="7"/>
  <c r="B25" i="7"/>
  <c r="B23" i="7" s="1"/>
  <c r="B30" i="7" s="1"/>
  <c r="D25" i="7"/>
  <c r="F25" i="7"/>
  <c r="H25" i="7"/>
  <c r="J25" i="7"/>
  <c r="L26" i="7"/>
  <c r="D26" i="7"/>
  <c r="D28" i="7"/>
  <c r="L28" i="7"/>
  <c r="B29" i="7"/>
  <c r="D29" i="7"/>
  <c r="L29" i="7"/>
  <c r="L30" i="7"/>
  <c r="B5" i="6"/>
  <c r="D5" i="6"/>
  <c r="F5" i="6"/>
  <c r="F12" i="6" s="1"/>
  <c r="H5" i="6"/>
  <c r="H6" i="6"/>
  <c r="J5" i="6"/>
  <c r="L6" i="6"/>
  <c r="L14" i="6" s="1"/>
  <c r="B7" i="6"/>
  <c r="D7" i="6"/>
  <c r="F7" i="6"/>
  <c r="F13" i="6"/>
  <c r="H7" i="6"/>
  <c r="J7" i="6"/>
  <c r="J12" i="6" s="1"/>
  <c r="L10" i="6"/>
  <c r="H12" i="6"/>
  <c r="L12" i="6"/>
  <c r="O12" i="6"/>
  <c r="B13" i="6"/>
  <c r="J13" i="6"/>
  <c r="L13" i="6"/>
  <c r="B23" i="6"/>
  <c r="B29" i="6" s="1"/>
  <c r="D23" i="6"/>
  <c r="F23" i="6"/>
  <c r="H23" i="6"/>
  <c r="J23" i="6"/>
  <c r="L24" i="6"/>
  <c r="B25" i="6"/>
  <c r="D25" i="6"/>
  <c r="D29" i="6" s="1"/>
  <c r="F25" i="6"/>
  <c r="H25" i="6"/>
  <c r="H24" i="6"/>
  <c r="J25" i="6"/>
  <c r="B26" i="6"/>
  <c r="D26" i="6"/>
  <c r="D24" i="6" s="1"/>
  <c r="F26" i="6"/>
  <c r="H26" i="6"/>
  <c r="J26" i="6"/>
  <c r="L27" i="6"/>
  <c r="L29" i="6"/>
  <c r="B30" i="6"/>
  <c r="L30" i="6"/>
  <c r="B5" i="5"/>
  <c r="D5" i="5"/>
  <c r="F5" i="5"/>
  <c r="H5" i="5"/>
  <c r="J5" i="5"/>
  <c r="L6" i="5"/>
  <c r="L14" i="5" s="1"/>
  <c r="B7" i="5"/>
  <c r="B12" i="5"/>
  <c r="D7" i="5"/>
  <c r="F7" i="5"/>
  <c r="F13" i="5" s="1"/>
  <c r="H7" i="5"/>
  <c r="H6" i="5" s="1"/>
  <c r="J7" i="5"/>
  <c r="J12" i="5"/>
  <c r="L10" i="5"/>
  <c r="H10" i="5"/>
  <c r="D12" i="5"/>
  <c r="H12" i="5"/>
  <c r="L12" i="5"/>
  <c r="O12" i="5"/>
  <c r="B13" i="5"/>
  <c r="L13" i="5"/>
  <c r="B23" i="5"/>
  <c r="D23" i="5"/>
  <c r="F23" i="5"/>
  <c r="H23" i="5"/>
  <c r="J23" i="5"/>
  <c r="L24" i="5"/>
  <c r="B25" i="5"/>
  <c r="D25" i="5"/>
  <c r="D24" i="5"/>
  <c r="F25" i="5"/>
  <c r="H25" i="5"/>
  <c r="H24" i="5" s="1"/>
  <c r="J25" i="5"/>
  <c r="B26" i="5"/>
  <c r="D26" i="5"/>
  <c r="F26" i="5"/>
  <c r="F24" i="5" s="1"/>
  <c r="H26" i="5"/>
  <c r="J26" i="5"/>
  <c r="J29" i="5" s="1"/>
  <c r="L27" i="5"/>
  <c r="H27" i="5"/>
  <c r="L29" i="5"/>
  <c r="B30" i="5"/>
  <c r="H30" i="5"/>
  <c r="L30" i="5"/>
  <c r="B5" i="4"/>
  <c r="D5" i="4"/>
  <c r="F5" i="4"/>
  <c r="H5" i="4"/>
  <c r="J5" i="4"/>
  <c r="L6" i="4"/>
  <c r="L14" i="4" s="1"/>
  <c r="B7" i="4"/>
  <c r="D7" i="4"/>
  <c r="F7" i="4"/>
  <c r="F6" i="4" s="1"/>
  <c r="F14" i="4" s="1"/>
  <c r="H7" i="4"/>
  <c r="H6" i="4"/>
  <c r="J7" i="4"/>
  <c r="B10" i="4"/>
  <c r="J10" i="4"/>
  <c r="L10" i="4"/>
  <c r="F10" i="4" s="1"/>
  <c r="D10" i="4"/>
  <c r="F12" i="4"/>
  <c r="L12" i="4"/>
  <c r="O12" i="4"/>
  <c r="B13" i="4"/>
  <c r="H13" i="4"/>
  <c r="L13" i="4"/>
  <c r="B23" i="4"/>
  <c r="D23" i="4"/>
  <c r="F23" i="4"/>
  <c r="H23" i="4"/>
  <c r="J23" i="4"/>
  <c r="L24" i="4"/>
  <c r="B25" i="4"/>
  <c r="B24" i="4"/>
  <c r="D25" i="4"/>
  <c r="F25" i="4"/>
  <c r="H25" i="4"/>
  <c r="J25" i="4"/>
  <c r="J24" i="4"/>
  <c r="B26" i="4"/>
  <c r="D26" i="4"/>
  <c r="F26" i="4"/>
  <c r="H26" i="4"/>
  <c r="J26" i="4"/>
  <c r="F27" i="4"/>
  <c r="L27" i="4"/>
  <c r="B29" i="4"/>
  <c r="J29" i="4"/>
  <c r="L29" i="4"/>
  <c r="B30" i="4"/>
  <c r="J30" i="4"/>
  <c r="L30" i="4"/>
  <c r="L31" i="4"/>
  <c r="B5" i="3"/>
  <c r="B6" i="3"/>
  <c r="D5" i="3"/>
  <c r="F5" i="3"/>
  <c r="H5" i="3"/>
  <c r="J5" i="3"/>
  <c r="L6" i="3"/>
  <c r="B7" i="3"/>
  <c r="D7" i="3"/>
  <c r="D6" i="3"/>
  <c r="F7" i="3"/>
  <c r="H7" i="3"/>
  <c r="J7" i="3"/>
  <c r="J13" i="3" s="1"/>
  <c r="L10" i="3"/>
  <c r="B12" i="3"/>
  <c r="J12" i="3"/>
  <c r="L12" i="3"/>
  <c r="O12" i="3"/>
  <c r="B13" i="3"/>
  <c r="D13" i="3"/>
  <c r="L13" i="3"/>
  <c r="B23" i="3"/>
  <c r="D23" i="3"/>
  <c r="F23" i="3"/>
  <c r="H23" i="3"/>
  <c r="J23" i="3"/>
  <c r="L24" i="3"/>
  <c r="B25" i="3"/>
  <c r="D25" i="3"/>
  <c r="F25" i="3"/>
  <c r="F30" i="3" s="1"/>
  <c r="H25" i="3"/>
  <c r="J25" i="3"/>
  <c r="B26" i="3"/>
  <c r="D26" i="3"/>
  <c r="D24" i="3" s="1"/>
  <c r="F26" i="3"/>
  <c r="H26" i="3"/>
  <c r="J26" i="3"/>
  <c r="B27" i="3"/>
  <c r="J27" i="3"/>
  <c r="L27" i="3"/>
  <c r="F27" i="3" s="1"/>
  <c r="D27" i="3"/>
  <c r="F29" i="3"/>
  <c r="L29" i="3"/>
  <c r="B30" i="3"/>
  <c r="L30" i="3"/>
  <c r="B5" i="2"/>
  <c r="B6" i="2" s="1"/>
  <c r="B14" i="2"/>
  <c r="D5" i="2"/>
  <c r="F5" i="2"/>
  <c r="F6" i="2" s="1"/>
  <c r="H5" i="2"/>
  <c r="J5" i="2"/>
  <c r="L6" i="2"/>
  <c r="L14" i="2"/>
  <c r="B7" i="2"/>
  <c r="D7" i="2"/>
  <c r="D6" i="2" s="1"/>
  <c r="F7" i="2"/>
  <c r="H7" i="2"/>
  <c r="H6" i="2"/>
  <c r="J7" i="2"/>
  <c r="B10" i="2"/>
  <c r="J10" i="2"/>
  <c r="L10" i="2"/>
  <c r="F10" i="2" s="1"/>
  <c r="D10" i="2"/>
  <c r="L12" i="2"/>
  <c r="O12" i="2"/>
  <c r="B13" i="2"/>
  <c r="F13" i="2"/>
  <c r="L13" i="2"/>
  <c r="B23" i="2"/>
  <c r="D23" i="2"/>
  <c r="F23" i="2"/>
  <c r="H23" i="2"/>
  <c r="H24" i="2" s="1"/>
  <c r="J23" i="2"/>
  <c r="J24" i="2"/>
  <c r="L24" i="2"/>
  <c r="L31" i="2"/>
  <c r="B25" i="2"/>
  <c r="D25" i="2"/>
  <c r="D30" i="2" s="1"/>
  <c r="F25" i="2"/>
  <c r="H25" i="2"/>
  <c r="J25" i="2"/>
  <c r="B26" i="2"/>
  <c r="B24" i="2" s="1"/>
  <c r="B31" i="2" s="1"/>
  <c r="D26" i="2"/>
  <c r="D24" i="2" s="1"/>
  <c r="F26" i="2"/>
  <c r="H26" i="2"/>
  <c r="J26" i="2"/>
  <c r="L27" i="2"/>
  <c r="D27" i="2"/>
  <c r="L29" i="2"/>
  <c r="B30" i="2"/>
  <c r="J30" i="2"/>
  <c r="L30" i="2"/>
  <c r="B5" i="1"/>
  <c r="B6" i="1" s="1"/>
  <c r="D5" i="1"/>
  <c r="F5" i="1"/>
  <c r="F6" i="1"/>
  <c r="H5" i="1"/>
  <c r="J5" i="1"/>
  <c r="L6" i="1"/>
  <c r="B7" i="1"/>
  <c r="D7" i="1"/>
  <c r="D13" i="1" s="1"/>
  <c r="F7" i="1"/>
  <c r="H7" i="1"/>
  <c r="J7" i="1"/>
  <c r="L10" i="1"/>
  <c r="L12" i="1"/>
  <c r="B13" i="1"/>
  <c r="L13" i="1"/>
  <c r="B23" i="1"/>
  <c r="D23" i="1"/>
  <c r="F23" i="1"/>
  <c r="H23" i="1"/>
  <c r="J23" i="1"/>
  <c r="J24" i="1" s="1"/>
  <c r="L24" i="1"/>
  <c r="B25" i="1"/>
  <c r="D25" i="1"/>
  <c r="F25" i="1"/>
  <c r="H25" i="1"/>
  <c r="J25" i="1"/>
  <c r="J30" i="1"/>
  <c r="B26" i="1"/>
  <c r="D26" i="1"/>
  <c r="D30" i="1" s="1"/>
  <c r="F26" i="1"/>
  <c r="H26" i="1"/>
  <c r="J26" i="1"/>
  <c r="B27" i="1"/>
  <c r="J27" i="1"/>
  <c r="L27" i="1"/>
  <c r="F27" i="1" s="1"/>
  <c r="D27" i="1"/>
  <c r="L29" i="1"/>
  <c r="B30" i="1"/>
  <c r="H30" i="1"/>
  <c r="L30" i="1"/>
  <c r="L31" i="1"/>
  <c r="H34" i="16"/>
  <c r="F34" i="16"/>
  <c r="J34" i="16"/>
  <c r="H27" i="1"/>
  <c r="F13" i="1"/>
  <c r="H10" i="1"/>
  <c r="D31" i="2"/>
  <c r="J27" i="2"/>
  <c r="J31" i="2"/>
  <c r="F27" i="2"/>
  <c r="B27" i="2"/>
  <c r="H13" i="2"/>
  <c r="D13" i="2"/>
  <c r="H10" i="2"/>
  <c r="H30" i="3"/>
  <c r="H27" i="3"/>
  <c r="F13" i="3"/>
  <c r="H12" i="3"/>
  <c r="D12" i="3"/>
  <c r="D30" i="4"/>
  <c r="D29" i="4"/>
  <c r="H27" i="4"/>
  <c r="J13" i="4"/>
  <c r="F13" i="4"/>
  <c r="H12" i="4"/>
  <c r="D12" i="4"/>
  <c r="H10" i="4"/>
  <c r="L31" i="5"/>
  <c r="B6" i="5"/>
  <c r="H13" i="5"/>
  <c r="D6" i="5"/>
  <c r="D13" i="5"/>
  <c r="H30" i="6"/>
  <c r="H29" i="6"/>
  <c r="F27" i="6"/>
  <c r="J24" i="6"/>
  <c r="F24" i="6"/>
  <c r="B24" i="6"/>
  <c r="F10" i="6"/>
  <c r="D30" i="10"/>
  <c r="H27" i="2"/>
  <c r="B27" i="5"/>
  <c r="F27" i="5"/>
  <c r="J27" i="5"/>
  <c r="D27" i="5"/>
  <c r="J24" i="5"/>
  <c r="J31" i="5" s="1"/>
  <c r="J30" i="5"/>
  <c r="F29" i="5"/>
  <c r="B24" i="5"/>
  <c r="B31" i="5" s="1"/>
  <c r="B29" i="5"/>
  <c r="B10" i="5"/>
  <c r="F10" i="5"/>
  <c r="J10" i="5"/>
  <c r="D10" i="5"/>
  <c r="D14" i="5" s="1"/>
  <c r="J6" i="6"/>
  <c r="F6" i="6"/>
  <c r="B6" i="6"/>
  <c r="B12" i="6"/>
  <c r="H13" i="6"/>
  <c r="D13" i="6"/>
  <c r="J29" i="7"/>
  <c r="F29" i="7"/>
  <c r="J28" i="7"/>
  <c r="F28" i="7"/>
  <c r="B28" i="7"/>
  <c r="J26" i="7"/>
  <c r="J30" i="7"/>
  <c r="F26" i="7"/>
  <c r="B26" i="7"/>
  <c r="L13" i="7"/>
  <c r="H12" i="7"/>
  <c r="J11" i="7"/>
  <c r="F11" i="7"/>
  <c r="B11" i="7"/>
  <c r="J9" i="7"/>
  <c r="F9" i="7"/>
  <c r="B9" i="7"/>
  <c r="B13" i="7" s="1"/>
  <c r="J29" i="8"/>
  <c r="J28" i="8"/>
  <c r="B28" i="8"/>
  <c r="J26" i="8"/>
  <c r="F26" i="8"/>
  <c r="B26" i="8"/>
  <c r="L13" i="8"/>
  <c r="H12" i="8"/>
  <c r="F11" i="8"/>
  <c r="J9" i="8"/>
  <c r="F9" i="8"/>
  <c r="B9" i="8"/>
  <c r="J29" i="9"/>
  <c r="F28" i="9"/>
  <c r="B28" i="9"/>
  <c r="J26" i="9"/>
  <c r="F26" i="9"/>
  <c r="B26" i="9"/>
  <c r="L13" i="9"/>
  <c r="H12" i="9"/>
  <c r="D12" i="9"/>
  <c r="J11" i="9"/>
  <c r="B11" i="9"/>
  <c r="J9" i="9"/>
  <c r="J13" i="9"/>
  <c r="F9" i="9"/>
  <c r="B9" i="9"/>
  <c r="B13" i="9"/>
  <c r="J29" i="10"/>
  <c r="J30" i="10" s="1"/>
  <c r="F29" i="10"/>
  <c r="F28" i="10"/>
  <c r="F26" i="10"/>
  <c r="F30" i="10" s="1"/>
  <c r="B26" i="10"/>
  <c r="B30" i="10" s="1"/>
  <c r="H12" i="10"/>
  <c r="D12" i="10"/>
  <c r="D13" i="10" s="1"/>
  <c r="H9" i="10"/>
  <c r="H29" i="11"/>
  <c r="F26" i="11"/>
  <c r="B26" i="11"/>
  <c r="B30" i="11"/>
  <c r="D12" i="11"/>
  <c r="B9" i="11"/>
  <c r="F9" i="11"/>
  <c r="F13" i="11"/>
  <c r="J9" i="11"/>
  <c r="D9" i="11"/>
  <c r="D13" i="11"/>
  <c r="H26" i="7"/>
  <c r="H9" i="7"/>
  <c r="H26" i="8"/>
  <c r="H9" i="8"/>
  <c r="H26" i="9"/>
  <c r="H9" i="9"/>
  <c r="H26" i="10"/>
  <c r="H26" i="11"/>
  <c r="H30" i="11" s="1"/>
  <c r="J12" i="11"/>
  <c r="J13" i="11" s="1"/>
  <c r="F12" i="11"/>
  <c r="B13" i="11"/>
  <c r="D19" i="14"/>
  <c r="D25" i="14" s="1"/>
  <c r="D6" i="14"/>
  <c r="D11" i="14"/>
  <c r="H24" i="12"/>
  <c r="H25" i="12" s="1"/>
  <c r="H22" i="12"/>
  <c r="J11" i="12"/>
  <c r="J9" i="12"/>
  <c r="J12" i="12" s="1"/>
  <c r="F9" i="12"/>
  <c r="B9" i="12"/>
  <c r="B12" i="12" s="1"/>
  <c r="J24" i="13"/>
  <c r="J25" i="13" s="1"/>
  <c r="F24" i="13"/>
  <c r="F22" i="13"/>
  <c r="F25" i="13"/>
  <c r="B22" i="13"/>
  <c r="B25" i="13"/>
  <c r="H11" i="13"/>
  <c r="H9" i="13"/>
  <c r="H22" i="14"/>
  <c r="H25" i="14" s="1"/>
  <c r="H18" i="14"/>
  <c r="L12" i="14"/>
  <c r="L11" i="14"/>
  <c r="H9" i="14"/>
  <c r="H12" i="14" s="1"/>
  <c r="J5" i="14"/>
  <c r="F5" i="14"/>
  <c r="F6" i="14" s="1"/>
  <c r="B5" i="14"/>
  <c r="F22" i="15"/>
  <c r="F25" i="15" s="1"/>
  <c r="B22" i="15"/>
  <c r="B25" i="15" s="1"/>
  <c r="H11" i="15"/>
  <c r="H9" i="15"/>
  <c r="H12" i="15" s="1"/>
  <c r="H9" i="12"/>
  <c r="H22" i="13"/>
  <c r="H5" i="14"/>
  <c r="H22" i="15"/>
  <c r="H25" i="15" s="1"/>
  <c r="B11" i="14"/>
  <c r="B6" i="14"/>
  <c r="J11" i="14"/>
  <c r="J6" i="14"/>
  <c r="H19" i="14"/>
  <c r="H24" i="14"/>
  <c r="B14" i="5"/>
  <c r="H6" i="14"/>
  <c r="H11" i="14"/>
  <c r="F11" i="14"/>
  <c r="B14" i="16" l="1"/>
  <c r="B16" i="16" s="1"/>
  <c r="B24" i="3"/>
  <c r="B29" i="3"/>
  <c r="B10" i="3"/>
  <c r="B14" i="3" s="1"/>
  <c r="J10" i="3"/>
  <c r="D10" i="3"/>
  <c r="D14" i="3" s="1"/>
  <c r="L14" i="3"/>
  <c r="H10" i="3"/>
  <c r="F6" i="3"/>
  <c r="F12" i="3"/>
  <c r="H30" i="4"/>
  <c r="H29" i="4"/>
  <c r="F29" i="4"/>
  <c r="F30" i="4"/>
  <c r="B6" i="4"/>
  <c r="B12" i="4"/>
  <c r="B14" i="4" s="1"/>
  <c r="D29" i="5"/>
  <c r="D30" i="5"/>
  <c r="H27" i="6"/>
  <c r="H31" i="6" s="1"/>
  <c r="B27" i="6"/>
  <c r="J27" i="6"/>
  <c r="J30" i="6"/>
  <c r="D6" i="7"/>
  <c r="D11" i="7"/>
  <c r="J23" i="8"/>
  <c r="J30" i="8" s="1"/>
  <c r="D23" i="8"/>
  <c r="D28" i="8"/>
  <c r="D29" i="8"/>
  <c r="H6" i="8"/>
  <c r="H11" i="8"/>
  <c r="D6" i="8"/>
  <c r="D13" i="8" s="1"/>
  <c r="J23" i="9"/>
  <c r="J30" i="9" s="1"/>
  <c r="F23" i="9"/>
  <c r="F6" i="9"/>
  <c r="J6" i="10"/>
  <c r="J12" i="10"/>
  <c r="J13" i="10"/>
  <c r="F22" i="12"/>
  <c r="D22" i="12"/>
  <c r="B22" i="12"/>
  <c r="B9" i="14"/>
  <c r="B12" i="14" s="1"/>
  <c r="J9" i="14"/>
  <c r="J12" i="14" s="1"/>
  <c r="D9" i="14"/>
  <c r="D12" i="14" s="1"/>
  <c r="F9" i="14"/>
  <c r="F12" i="14" s="1"/>
  <c r="J6" i="15"/>
  <c r="J12" i="15" s="1"/>
  <c r="J11" i="15"/>
  <c r="B10" i="1"/>
  <c r="J10" i="1"/>
  <c r="D10" i="1"/>
  <c r="L14" i="1"/>
  <c r="D14" i="2"/>
  <c r="D30" i="3"/>
  <c r="D29" i="3"/>
  <c r="D31" i="3" s="1"/>
  <c r="H24" i="3"/>
  <c r="H24" i="4"/>
  <c r="H31" i="4" s="1"/>
  <c r="L31" i="6"/>
  <c r="F30" i="6"/>
  <c r="F14" i="6"/>
  <c r="H13" i="8"/>
  <c r="F11" i="9"/>
  <c r="F29" i="9"/>
  <c r="F30" i="9" s="1"/>
  <c r="B11" i="8"/>
  <c r="B13" i="8" s="1"/>
  <c r="J11" i="8"/>
  <c r="F28" i="8"/>
  <c r="F30" i="8" s="1"/>
  <c r="D12" i="7"/>
  <c r="F30" i="5"/>
  <c r="F31" i="5" s="1"/>
  <c r="D31" i="5"/>
  <c r="B31" i="6"/>
  <c r="F29" i="6"/>
  <c r="F31" i="6" s="1"/>
  <c r="J29" i="6"/>
  <c r="J31" i="6" s="1"/>
  <c r="D27" i="6"/>
  <c r="D31" i="6" s="1"/>
  <c r="H29" i="3"/>
  <c r="H30" i="2"/>
  <c r="H31" i="2" s="1"/>
  <c r="B14" i="1"/>
  <c r="J31" i="1"/>
  <c r="F30" i="1"/>
  <c r="F24" i="1"/>
  <c r="H24" i="1"/>
  <c r="H31" i="1" s="1"/>
  <c r="D24" i="1"/>
  <c r="D31" i="1" s="1"/>
  <c r="B24" i="1"/>
  <c r="B31" i="1" s="1"/>
  <c r="F10" i="1"/>
  <c r="H6" i="1"/>
  <c r="H14" i="1" s="1"/>
  <c r="H13" i="1"/>
  <c r="J6" i="1"/>
  <c r="J14" i="1" s="1"/>
  <c r="J13" i="1"/>
  <c r="F14" i="1"/>
  <c r="D6" i="1"/>
  <c r="D14" i="1" s="1"/>
  <c r="F24" i="2"/>
  <c r="F31" i="2" s="1"/>
  <c r="F30" i="2"/>
  <c r="H14" i="2"/>
  <c r="J6" i="2"/>
  <c r="J13" i="2"/>
  <c r="F14" i="2"/>
  <c r="L31" i="3"/>
  <c r="F24" i="3"/>
  <c r="F31" i="3" s="1"/>
  <c r="J24" i="3"/>
  <c r="J29" i="3"/>
  <c r="J30" i="3"/>
  <c r="F10" i="3"/>
  <c r="F14" i="3" s="1"/>
  <c r="J6" i="3"/>
  <c r="J14" i="3" s="1"/>
  <c r="H6" i="3"/>
  <c r="H13" i="3"/>
  <c r="B27" i="4"/>
  <c r="B31" i="4" s="1"/>
  <c r="J27" i="4"/>
  <c r="J31" i="4" s="1"/>
  <c r="D27" i="4"/>
  <c r="F24" i="4"/>
  <c r="F31" i="4" s="1"/>
  <c r="D24" i="4"/>
  <c r="D31" i="4"/>
  <c r="H14" i="4"/>
  <c r="J6" i="4"/>
  <c r="J12" i="4"/>
  <c r="J14" i="4"/>
  <c r="D6" i="4"/>
  <c r="D13" i="4"/>
  <c r="D14" i="4" s="1"/>
  <c r="H29" i="5"/>
  <c r="H31" i="5" s="1"/>
  <c r="H14" i="5"/>
  <c r="J13" i="5"/>
  <c r="J6" i="5"/>
  <c r="F6" i="5"/>
  <c r="F14" i="5" s="1"/>
  <c r="F12" i="5"/>
  <c r="D30" i="6"/>
  <c r="H10" i="6"/>
  <c r="H14" i="6" s="1"/>
  <c r="B10" i="6"/>
  <c r="B14" i="6" s="1"/>
  <c r="J10" i="6"/>
  <c r="J14" i="6" s="1"/>
  <c r="D10" i="6"/>
  <c r="D6" i="6"/>
  <c r="D12" i="6"/>
  <c r="H29" i="7"/>
  <c r="H28" i="7"/>
  <c r="H30" i="7" s="1"/>
  <c r="F23" i="7"/>
  <c r="F30" i="7" s="1"/>
  <c r="H11" i="7"/>
  <c r="H13" i="7" s="1"/>
  <c r="F6" i="7"/>
  <c r="F13" i="7" s="1"/>
  <c r="B23" i="8"/>
  <c r="B30" i="8" s="1"/>
  <c r="J6" i="8"/>
  <c r="J13" i="8" s="1"/>
  <c r="D30" i="9"/>
  <c r="L30" i="9"/>
  <c r="L13" i="10"/>
  <c r="B6" i="10"/>
  <c r="B13" i="10"/>
  <c r="F29" i="11"/>
  <c r="F23" i="11"/>
  <c r="F30" i="11" s="1"/>
  <c r="H12" i="11"/>
  <c r="H6" i="11"/>
  <c r="H13" i="11" s="1"/>
  <c r="B25" i="12"/>
  <c r="F19" i="12"/>
  <c r="F25" i="12" s="1"/>
  <c r="F24" i="12"/>
  <c r="D11" i="12"/>
  <c r="D12" i="12" s="1"/>
  <c r="H6" i="12"/>
  <c r="H11" i="12"/>
  <c r="D6" i="13"/>
  <c r="J24" i="15"/>
  <c r="J25" i="15" s="1"/>
  <c r="B6" i="15"/>
  <c r="B12" i="15"/>
  <c r="D13" i="16"/>
  <c r="D6" i="16"/>
  <c r="D14" i="16" s="1"/>
  <c r="D16" i="16" s="1"/>
  <c r="J6" i="16"/>
  <c r="J14" i="16" s="1"/>
  <c r="J16" i="16" s="1"/>
  <c r="J13" i="16"/>
  <c r="D6" i="9"/>
  <c r="D13" i="9" s="1"/>
  <c r="D11" i="9"/>
  <c r="H23" i="10"/>
  <c r="H30" i="10" s="1"/>
  <c r="H28" i="10"/>
  <c r="F6" i="10"/>
  <c r="F13" i="10" s="1"/>
  <c r="L30" i="11"/>
  <c r="J23" i="11"/>
  <c r="J30" i="11" s="1"/>
  <c r="D23" i="11"/>
  <c r="D30" i="11" s="1"/>
  <c r="L13" i="11"/>
  <c r="L25" i="12"/>
  <c r="D19" i="12"/>
  <c r="D25" i="12" s="1"/>
  <c r="F6" i="12"/>
  <c r="F11" i="12"/>
  <c r="D25" i="13"/>
  <c r="H19" i="13"/>
  <c r="H25" i="13" s="1"/>
  <c r="B9" i="13"/>
  <c r="J9" i="13"/>
  <c r="D9" i="13"/>
  <c r="J6" i="13"/>
  <c r="J12" i="13" s="1"/>
  <c r="H6" i="13"/>
  <c r="H12" i="13" s="1"/>
  <c r="B12" i="13"/>
  <c r="F24" i="14"/>
  <c r="F25" i="14"/>
  <c r="B9" i="15"/>
  <c r="J9" i="15"/>
  <c r="D9" i="15"/>
  <c r="D12" i="15" s="1"/>
  <c r="F6" i="15"/>
  <c r="F12" i="15" s="1"/>
  <c r="F11" i="15"/>
  <c r="L14" i="16"/>
  <c r="L16" i="16" s="1"/>
  <c r="B35" i="16"/>
  <c r="B37" i="16" s="1"/>
  <c r="L35" i="16"/>
  <c r="L37" i="16" s="1"/>
  <c r="D35" i="16"/>
  <c r="D37" i="16" s="1"/>
  <c r="H35" i="16"/>
  <c r="H37" i="16" s="1"/>
  <c r="H6" i="16"/>
  <c r="H14" i="16" s="1"/>
  <c r="H16" i="16" s="1"/>
  <c r="H13" i="16"/>
  <c r="F12" i="12" l="1"/>
  <c r="D12" i="13"/>
  <c r="H12" i="12"/>
  <c r="D14" i="6"/>
  <c r="J14" i="5"/>
  <c r="H14" i="3"/>
  <c r="J14" i="2"/>
  <c r="F31" i="1"/>
  <c r="F13" i="9"/>
  <c r="D30" i="8"/>
  <c r="B31" i="3"/>
  <c r="J31" i="3"/>
  <c r="H31" i="3"/>
  <c r="D13" i="7"/>
</calcChain>
</file>

<file path=xl/comments1.xml><?xml version="1.0" encoding="utf-8"?>
<comments xmlns="http://schemas.openxmlformats.org/spreadsheetml/2006/main">
  <authors>
    <author/>
  </authors>
  <commentList>
    <comment ref="A12" author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  <comment ref="A15" author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  <comment ref="A36" author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11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12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11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11" authorId="0">
      <text>
        <r>
          <rPr>
            <b/>
            <sz val="8"/>
            <color indexed="8"/>
            <rFont val="Tahoma"/>
            <family val="2"/>
          </rPr>
          <t xml:space="preserve">Lois Coffey:
</t>
        </r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sharedStrings.xml><?xml version="1.0" encoding="utf-8"?>
<sst xmlns="http://schemas.openxmlformats.org/spreadsheetml/2006/main" count="697" uniqueCount="114">
  <si>
    <t>Part-Time Pastorates</t>
  </si>
  <si>
    <t>2014 Part-Time</t>
  </si>
  <si>
    <t>10 Hrs/Week</t>
  </si>
  <si>
    <t>15 Hrs/Week</t>
  </si>
  <si>
    <t>20 Hrs/Week</t>
  </si>
  <si>
    <t>25 Hrs/Week</t>
  </si>
  <si>
    <t>30 Hrs/Week</t>
  </si>
  <si>
    <t>Full-Time</t>
  </si>
  <si>
    <t>Calls - Manse</t>
  </si>
  <si>
    <t>Salary</t>
  </si>
  <si>
    <t>SECA Offset</t>
  </si>
  <si>
    <t>Utilities</t>
  </si>
  <si>
    <t>paid as allowance to pastor</t>
  </si>
  <si>
    <t>Manse Fair Rental*</t>
  </si>
  <si>
    <t>Manse Equity Allowance</t>
  </si>
  <si>
    <t>Travel @.56 mile</t>
  </si>
  <si>
    <t>based on 8500 miles</t>
  </si>
  <si>
    <t>Cont. Ed.</t>
  </si>
  <si>
    <t>Medical Dues**</t>
  </si>
  <si>
    <t>Pension Dues ***</t>
  </si>
  <si>
    <t>TOTAL COST*</t>
  </si>
  <si>
    <t>*Fair rental value of manse not included in total cost.</t>
  </si>
  <si>
    <r>
      <t xml:space="preserve">**Calculation for Major Medical is 23%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+ 30% (salary + utilities)] or a minimum effective salary of $42,000.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</si>
  <si>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$13,625.</t>
    </r>
  </si>
  <si>
    <r>
      <t>Unless installed</t>
    </r>
    <r>
      <rPr>
        <sz val="9"/>
        <rFont val="Arial"/>
        <family val="2"/>
      </rPr>
      <t>, a minister serving less than 1/2 time is not eligible for Pension/Med. Benefits.</t>
    </r>
  </si>
  <si>
    <t>Calls - Housing Allow.</t>
  </si>
  <si>
    <t>Housing Allowance</t>
  </si>
  <si>
    <t>Medical Dues*</t>
  </si>
  <si>
    <t>Pension Dues**</t>
  </si>
  <si>
    <t>TOTAL COST</t>
  </si>
  <si>
    <r>
      <t xml:space="preserve">*Calculation for Major Medical based on 23%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(or full-time equivalent)</t>
    </r>
    <r>
      <rPr>
        <sz val="9"/>
        <rFont val="Arial"/>
        <family val="2"/>
      </rPr>
      <t xml:space="preserve"> effective salary [salary + utilities + housing allowance] or a minimum effective salary of $42,000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</si>
  <si>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$13,625.</t>
    </r>
  </si>
  <si>
    <t>2013 Part-Time</t>
  </si>
  <si>
    <t>1/4 of Full-Time</t>
  </si>
  <si>
    <t>1/3 of Full-Time</t>
  </si>
  <si>
    <t>1/2 of Full-Time</t>
  </si>
  <si>
    <t>2/3 of Full-Time</t>
  </si>
  <si>
    <t>3/4 of Full-Time</t>
  </si>
  <si>
    <t>Travel @.565 mile</t>
  </si>
  <si>
    <r>
      <t xml:space="preserve">**Calculation for Major Medical is 21%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+ 30% (salary + utilities)] or a minimum effective salary of $40,000.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</si>
  <si>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$13,500.</t>
    </r>
  </si>
  <si>
    <r>
      <t xml:space="preserve">*Calculation for Major Medical based on 21%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(or full-time equivalent)</t>
    </r>
    <r>
      <rPr>
        <sz val="9"/>
        <rFont val="Arial"/>
        <family val="2"/>
      </rPr>
      <t xml:space="preserve"> effective salary [salary + utilities + housing allowance] or a minimum effective salary of $40,000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</si>
  <si>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$13,500.</t>
    </r>
  </si>
  <si>
    <t>2012 Part-Time</t>
  </si>
  <si>
    <t>Travel @.555 mile</t>
  </si>
  <si>
    <r>
      <t xml:space="preserve">**Calculation for Major Medical based on 20.25%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+ 30% (salary + utilities)].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</si>
  <si>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$13,325.</t>
    </r>
  </si>
  <si>
    <r>
      <t xml:space="preserve">*Calculation for Major Medical based on 20.25%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housing allowance].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</si>
  <si>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$13,325.</t>
    </r>
  </si>
  <si>
    <t>2011 Part-Time</t>
  </si>
  <si>
    <t>Travel @.51 mile</t>
  </si>
  <si>
    <r>
      <t xml:space="preserve">**Calculation for Major Medical based on 19.5%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+ 30% (salary + utilities)].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</si>
  <si>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$13,225.</t>
    </r>
  </si>
  <si>
    <r>
      <t xml:space="preserve">*Calculation for Major Medical based on 19.5%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housing allowance].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</si>
  <si>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$13,225.</t>
    </r>
  </si>
  <si>
    <t>2010 Part-Time</t>
  </si>
  <si>
    <t>Travel @.50 mile</t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</si>
  <si>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$13,050.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</si>
  <si>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$13,050.</t>
    </r>
  </si>
  <si>
    <t>2009 Part-Time</t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</si>
  <si>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$12,700.</t>
    </r>
  </si>
  <si>
    <t>Travel @.55 mile</t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</si>
  <si>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$12,700.</t>
    </r>
  </si>
  <si>
    <t>2008 Part-Time</t>
  </si>
  <si>
    <t>Travel @.505mile</t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</si>
  <si>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$12,250.</t>
    </r>
  </si>
  <si>
    <t>Travel @.505 mile</t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</si>
  <si>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$12,250.</t>
    </r>
  </si>
  <si>
    <t>2006 Part-Time</t>
  </si>
  <si>
    <t>Travel @.445mile</t>
  </si>
  <si>
    <r>
      <t xml:space="preserve">**Calculation for Major Medical based on 19%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+ 30% (salary + utilities)].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</si>
  <si>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$11,625.</t>
    </r>
  </si>
  <si>
    <t>Travel @.445 mile</t>
  </si>
  <si>
    <r>
      <t xml:space="preserve">*Calculation for Major Medical based on 19%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housing allowance].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</si>
  <si>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$11,625.</t>
    </r>
  </si>
  <si>
    <t>2005 Part-Time</t>
  </si>
  <si>
    <t>Travel @.405mile</t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</si>
  <si>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$11,375.</t>
    </r>
  </si>
  <si>
    <t>Travel @.405 mile</t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</si>
  <si>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$11,375.</t>
    </r>
  </si>
  <si>
    <t>2004 Part-Time</t>
  </si>
  <si>
    <t>Travel @.36/mile</t>
  </si>
  <si>
    <r>
      <t xml:space="preserve">**Calculation for Major Medical based on 18.5%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+ 30% (salary + utilities)].  </t>
    </r>
  </si>
  <si>
    <r>
      <t>***Pension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$11,050.</t>
    </r>
  </si>
  <si>
    <r>
      <t xml:space="preserve">*Calculation for Major Medical based on 18.5%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effective salary [salary + utilities + housing allowance].  </t>
    </r>
  </si>
  <si>
    <r>
      <t>**Pension dues are 12% of the greater of (1)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(2) $11,050.</t>
    </r>
  </si>
  <si>
    <t>2003 Part-Time</t>
  </si>
  <si>
    <t>Pension/Med. Dues**</t>
  </si>
  <si>
    <t>**Calculation based on Minimum Effective Salary of $23,760 for Major Medical &amp; $10,800 for Pension Dues</t>
  </si>
  <si>
    <t>2002 Part-Time</t>
  </si>
  <si>
    <t>Travel @.365/mile</t>
  </si>
  <si>
    <t>**Calculation based on Minimum Effective Salary of $23,100 for Major Medical &amp; $10,500 for Pension Dues</t>
  </si>
  <si>
    <t>2001 Part-Time</t>
  </si>
  <si>
    <t>Travel @.345/mile</t>
  </si>
  <si>
    <t>**Calculation based on Minimum Effective Salary of $22,151 for Major Medical &amp; $10,069 for Pension Dues</t>
  </si>
  <si>
    <t>Travel @.31/mile</t>
  </si>
  <si>
    <t>**Calculation based on Minimum Effective Salary of $20,625 for Major Medical &amp; $9,375 for Pension Dues</t>
  </si>
  <si>
    <t>1999 Part-Time</t>
  </si>
  <si>
    <t>2015 Part-Time</t>
  </si>
  <si>
    <r>
      <t>Manse Fair Rental</t>
    </r>
    <r>
      <rPr>
        <sz val="8"/>
        <rFont val="Arial"/>
        <family val="2"/>
      </rPr>
      <t>(1)</t>
    </r>
  </si>
  <si>
    <t>(1) Fair rental value of manse not included in total cost.</t>
  </si>
  <si>
    <r>
      <t>Medical Dues</t>
    </r>
    <r>
      <rPr>
        <sz val="8"/>
        <rFont val="Arial"/>
        <family val="2"/>
      </rPr>
      <t>(3)</t>
    </r>
  </si>
  <si>
    <r>
      <t>Pension Dues</t>
    </r>
    <r>
      <rPr>
        <sz val="8"/>
        <rFont val="Arial"/>
        <family val="2"/>
      </rPr>
      <t>(4)</t>
    </r>
  </si>
  <si>
    <r>
      <t xml:space="preserve">(3) Calculation for Major Medical is 23% (or 24.5% with dependent coverage)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+ 30% (salary + utilities)] or Bd. of Pen. minimum salary of $44,000.  </t>
    </r>
  </si>
  <si>
    <r>
      <t>(4) Pension dues are 12% of the greater of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Bd. of Pen. minimum salary of $13,850.</t>
    </r>
  </si>
  <si>
    <r>
      <t>TOTAL COST</t>
    </r>
    <r>
      <rPr>
        <sz val="8"/>
        <rFont val="Arial"/>
        <family val="2"/>
      </rPr>
      <t>(1)</t>
    </r>
  </si>
  <si>
    <r>
      <t>Dependent Medical Dues</t>
    </r>
    <r>
      <rPr>
        <sz val="8"/>
        <rFont val="Arial"/>
        <family val="2"/>
      </rPr>
      <t>(3)</t>
    </r>
  </si>
  <si>
    <r>
      <t>TOTAL</t>
    </r>
    <r>
      <rPr>
        <sz val="8"/>
        <rFont val="Arial"/>
        <family val="2"/>
      </rPr>
      <t>(1)</t>
    </r>
    <r>
      <rPr>
        <sz val="10"/>
        <rFont val="Arial"/>
        <family val="2"/>
      </rPr>
      <t xml:space="preserve"> w/ depend. Medical</t>
    </r>
  </si>
  <si>
    <r>
      <t xml:space="preserve">(3) Calculation for Major Medical based on 23% (or 24.5% with dependent coverage) of the </t>
    </r>
    <r>
      <rPr>
        <b/>
        <sz val="9"/>
        <rFont val="Arial"/>
        <family val="2"/>
      </rPr>
      <t>full-time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(or full-time equivalent)</t>
    </r>
    <r>
      <rPr>
        <sz val="9"/>
        <rFont val="Arial"/>
        <family val="2"/>
      </rPr>
      <t xml:space="preserve"> effective salary [salary + utilities + housing allowance] or Bd. of Pen. minimum salary of $44,000  </t>
    </r>
  </si>
  <si>
    <t>TOTAL w/ depend. Medical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</si>
  <si>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By action of the Presbytery at the August 19, 2014 meeting, the Presbytery and its churches shall pay the dues for dependent medical coverage.  </t>
    </r>
  </si>
  <si>
    <r>
      <t>Travel @ .575 mile</t>
    </r>
    <r>
      <rPr>
        <sz val="8"/>
        <rFont val="Arial"/>
        <family val="2"/>
      </rPr>
      <t>(2)</t>
    </r>
  </si>
  <si>
    <t>(2) 2015 rate.</t>
  </si>
  <si>
    <r>
      <t>Travel @.575 mile</t>
    </r>
    <r>
      <rPr>
        <sz val="8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</si>
</sst>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.00_);_(* \(#,##0.00\);_(* \-??_);_(@_)"/>
    <numFmt numFmtId="165" formatCode="_(* #,##0_);_(* \(#,##0\);_(* \-??_);_(@_)"/>
  </numFmts>
  <fonts count="10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ont="1" applyAlignment="1">
      <alignment vertical="center" shrinkToFit="1"/>
    </xf>
    <xf numFmtId="165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165" fontId="0" fillId="0" borderId="0" xfId="1" applyNumberFormat="1" applyFont="1" applyFill="1" applyBorder="1" applyAlignment="1" applyProtection="1"/>
    <xf numFmtId="165" fontId="5" fillId="0" borderId="0" xfId="1" applyNumberFormat="1" applyFont="1" applyFill="1" applyBorder="1" applyAlignment="1" applyProtection="1"/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5" fontId="0" fillId="0" borderId="0" xfId="1" applyNumberFormat="1" applyFont="1" applyFill="1" applyBorder="1" applyAlignment="1" applyProtection="1">
      <alignment vertical="center"/>
    </xf>
    <xf numFmtId="5" fontId="0" fillId="0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R15" sqref="R15"/>
    </sheetView>
  </sheetViews>
  <sheetFormatPr defaultRowHeight="12.75" x14ac:dyDescent="0.2"/>
  <cols>
    <col min="1" max="1" width="24.7109375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  <col min="14" max="14" width="10.28515625" customWidth="1"/>
  </cols>
  <sheetData>
    <row r="1" spans="1:13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customHeight="1" x14ac:dyDescent="0.2">
      <c r="A3" s="5" t="s">
        <v>98</v>
      </c>
      <c r="B3" s="6" t="s">
        <v>2</v>
      </c>
      <c r="C3" s="6"/>
      <c r="D3" s="6" t="s">
        <v>3</v>
      </c>
      <c r="E3" s="6"/>
      <c r="F3" s="6" t="s">
        <v>4</v>
      </c>
      <c r="G3" s="6"/>
      <c r="H3" s="6" t="s">
        <v>5</v>
      </c>
      <c r="I3" s="6"/>
      <c r="J3" s="6" t="s">
        <v>6</v>
      </c>
      <c r="K3" s="6"/>
      <c r="L3" s="6" t="s">
        <v>7</v>
      </c>
      <c r="M3" s="4"/>
    </row>
    <row r="4" spans="1:13" ht="18.75" customHeight="1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ht="15.75" customHeight="1" x14ac:dyDescent="0.2">
      <c r="A5" s="4" t="s">
        <v>9</v>
      </c>
      <c r="B5" s="31">
        <f>L5*0.25</f>
        <v>7916.5</v>
      </c>
      <c r="C5" s="8"/>
      <c r="D5" s="31">
        <f>L5*0.375</f>
        <v>11874.75</v>
      </c>
      <c r="E5" s="8"/>
      <c r="F5" s="31">
        <f>L5*0.5</f>
        <v>15833</v>
      </c>
      <c r="G5" s="8"/>
      <c r="H5" s="31">
        <f>L5*0.625</f>
        <v>19791.25</v>
      </c>
      <c r="I5" s="8"/>
      <c r="J5" s="31">
        <f>L5*0.75</f>
        <v>23749.5</v>
      </c>
      <c r="K5" s="8"/>
      <c r="L5" s="31">
        <v>31666</v>
      </c>
      <c r="M5" s="9"/>
    </row>
    <row r="6" spans="1:13" x14ac:dyDescent="0.2">
      <c r="A6" s="4" t="s">
        <v>10</v>
      </c>
      <c r="B6" s="8">
        <f>(B5+B7+B8)*0.0828</f>
        <v>1218.5262</v>
      </c>
      <c r="C6" s="8"/>
      <c r="D6" s="8">
        <f>(D5+D7+D8)*0.0828</f>
        <v>1579.3893</v>
      </c>
      <c r="E6" s="8"/>
      <c r="F6" s="8">
        <f>(F5+F7+F8)*0.0828</f>
        <v>1940.2524000000001</v>
      </c>
      <c r="G6" s="8"/>
      <c r="H6" s="8">
        <f>(H5+H7+H8)*0.0828</f>
        <v>2301.1154999999999</v>
      </c>
      <c r="I6" s="8"/>
      <c r="J6" s="8">
        <f>(J5+J7+J8)*0.0828</f>
        <v>2661.9785999999999</v>
      </c>
      <c r="K6" s="8"/>
      <c r="L6" s="8">
        <f>(L5+L7+L8)*0.0828</f>
        <v>3383.7048</v>
      </c>
      <c r="M6" s="4"/>
    </row>
    <row r="7" spans="1:13" x14ac:dyDescent="0.2">
      <c r="A7" s="4" t="s">
        <v>11</v>
      </c>
      <c r="B7" s="8">
        <f>L7*0.25</f>
        <v>800</v>
      </c>
      <c r="C7" s="8"/>
      <c r="D7" s="8">
        <f>L7*0.375</f>
        <v>1200</v>
      </c>
      <c r="E7" s="8"/>
      <c r="F7" s="8">
        <f>L7*0.5</f>
        <v>1600</v>
      </c>
      <c r="G7" s="8"/>
      <c r="H7" s="8">
        <f>L7*0.625</f>
        <v>2000</v>
      </c>
      <c r="I7" s="8"/>
      <c r="J7" s="8">
        <f>L7*0.75</f>
        <v>2400</v>
      </c>
      <c r="K7" s="8"/>
      <c r="L7" s="8">
        <v>3200</v>
      </c>
      <c r="M7" s="10" t="s">
        <v>12</v>
      </c>
    </row>
    <row r="8" spans="1:13" x14ac:dyDescent="0.2">
      <c r="A8" s="4" t="s">
        <v>99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3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3" x14ac:dyDescent="0.2">
      <c r="A10" s="4" t="s">
        <v>111</v>
      </c>
      <c r="B10" s="8">
        <f>L10*0.25</f>
        <v>1221.875</v>
      </c>
      <c r="C10" s="8"/>
      <c r="D10" s="8">
        <f>L10*0.375</f>
        <v>1832.8125</v>
      </c>
      <c r="E10" s="8"/>
      <c r="F10" s="8">
        <f>L10*0.5</f>
        <v>2443.75</v>
      </c>
      <c r="G10" s="8"/>
      <c r="H10" s="8">
        <f>L10*0.625</f>
        <v>3054.6875</v>
      </c>
      <c r="I10" s="8"/>
      <c r="J10" s="8">
        <f>L10*0.75</f>
        <v>3665.625</v>
      </c>
      <c r="K10" s="8"/>
      <c r="L10" s="8">
        <f>8500*0.575</f>
        <v>4887.5</v>
      </c>
      <c r="M10" s="4" t="s">
        <v>16</v>
      </c>
    </row>
    <row r="11" spans="1:13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3" x14ac:dyDescent="0.2">
      <c r="A12" s="4" t="s">
        <v>101</v>
      </c>
      <c r="B12" s="8">
        <f>44000*0.23</f>
        <v>10120</v>
      </c>
      <c r="C12" s="8"/>
      <c r="D12" s="8">
        <f>44000*0.23</f>
        <v>10120</v>
      </c>
      <c r="E12" s="8"/>
      <c r="F12" s="8">
        <f>44000*0.23</f>
        <v>10120</v>
      </c>
      <c r="G12" s="8"/>
      <c r="H12" s="8">
        <f>44000*0.23</f>
        <v>10120</v>
      </c>
      <c r="I12" s="8"/>
      <c r="J12" s="8">
        <f>44000*0.23</f>
        <v>10120</v>
      </c>
      <c r="K12" s="8"/>
      <c r="L12" s="8">
        <f>((L5+L7)*1.3)*0.23</f>
        <v>10424.934000000001</v>
      </c>
      <c r="M12" s="4"/>
    </row>
    <row r="13" spans="1:13" x14ac:dyDescent="0.2">
      <c r="A13" s="4" t="s">
        <v>102</v>
      </c>
      <c r="B13" s="11">
        <f>13850*0.12</f>
        <v>1662</v>
      </c>
      <c r="C13" s="8"/>
      <c r="D13" s="11">
        <f>((D5+D7)*1.3)*0.12</f>
        <v>2039.6609999999998</v>
      </c>
      <c r="E13" s="8"/>
      <c r="F13" s="11">
        <f>((F5+F7)*1.3)*0.12</f>
        <v>2719.5480000000002</v>
      </c>
      <c r="G13" s="8"/>
      <c r="H13" s="11">
        <f>((H5+H7)*1.3)*0.12</f>
        <v>3399.4349999999999</v>
      </c>
      <c r="I13" s="8"/>
      <c r="J13" s="11">
        <f>((J5+J7)*1.3)*0.12</f>
        <v>4079.3219999999997</v>
      </c>
      <c r="K13" s="8"/>
      <c r="L13" s="11">
        <f>((L5+L7)*1.3)*0.12</f>
        <v>5439.0960000000005</v>
      </c>
      <c r="M13" s="4"/>
    </row>
    <row r="14" spans="1:13" ht="20.25" customHeight="1" x14ac:dyDescent="0.2">
      <c r="A14" s="4" t="s">
        <v>105</v>
      </c>
      <c r="B14" s="31">
        <f>SUM(B5:B13)-B8</f>
        <v>24438.9012</v>
      </c>
      <c r="C14" s="8"/>
      <c r="D14" s="31">
        <f>SUM(D5:D13)-D8</f>
        <v>30146.612800000003</v>
      </c>
      <c r="E14" s="8"/>
      <c r="F14" s="31">
        <f>SUM(F5:F13)-F8</f>
        <v>36156.5504</v>
      </c>
      <c r="G14" s="8"/>
      <c r="H14" s="31">
        <f>SUM(H5:H13)-H8</f>
        <v>42166.487999999998</v>
      </c>
      <c r="I14" s="8"/>
      <c r="J14" s="31">
        <f>SUM(J5:J13)-J8</f>
        <v>48176.425600000002</v>
      </c>
      <c r="K14" s="8"/>
      <c r="L14" s="31">
        <f>SUM(L5:L13)-L8</f>
        <v>60501.234800000006</v>
      </c>
      <c r="M14" s="4"/>
    </row>
    <row r="15" spans="1:13" ht="15.95" customHeight="1" x14ac:dyDescent="0.2">
      <c r="A15" s="4" t="s">
        <v>106</v>
      </c>
      <c r="B15" s="11">
        <f>44000*0.015</f>
        <v>660</v>
      </c>
      <c r="C15" s="8"/>
      <c r="D15" s="11">
        <f t="shared" ref="D15:J15" si="0">44000*0.015</f>
        <v>660</v>
      </c>
      <c r="E15" s="11"/>
      <c r="F15" s="11">
        <f t="shared" si="0"/>
        <v>660</v>
      </c>
      <c r="G15" s="11"/>
      <c r="H15" s="11">
        <f t="shared" si="0"/>
        <v>660</v>
      </c>
      <c r="I15" s="11"/>
      <c r="J15" s="11">
        <f t="shared" si="0"/>
        <v>660</v>
      </c>
      <c r="K15" s="11"/>
      <c r="L15" s="11">
        <f>((L5+L7)*1.3)*0.015</f>
        <v>679.88700000000006</v>
      </c>
      <c r="M15" s="4"/>
    </row>
    <row r="16" spans="1:13" ht="20.25" customHeight="1" thickBot="1" x14ac:dyDescent="0.25">
      <c r="A16" s="4" t="s">
        <v>107</v>
      </c>
      <c r="B16" s="32">
        <f>SUM(B14:B15)</f>
        <v>25098.9012</v>
      </c>
      <c r="C16" s="8"/>
      <c r="D16" s="32">
        <f>SUM(D14:D15)</f>
        <v>30806.612800000003</v>
      </c>
      <c r="E16" s="8"/>
      <c r="F16" s="32">
        <f>SUM(F14:F15)</f>
        <v>36816.5504</v>
      </c>
      <c r="G16" s="8"/>
      <c r="H16" s="32">
        <f>SUM(H14:H15)</f>
        <v>42826.487999999998</v>
      </c>
      <c r="I16" s="8"/>
      <c r="J16" s="32">
        <f>SUM(J14:J15)</f>
        <v>48836.425600000002</v>
      </c>
      <c r="K16" s="8"/>
      <c r="L16" s="32">
        <f>SUM(L14:L15)</f>
        <v>61181.121800000008</v>
      </c>
      <c r="M16" s="4"/>
    </row>
    <row r="17" spans="1:14" ht="6.75" customHeight="1" thickTop="1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</row>
    <row r="18" spans="1:14" ht="19.5" customHeight="1" x14ac:dyDescent="0.2">
      <c r="A18" s="12" t="s">
        <v>100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ht="19.5" customHeight="1" x14ac:dyDescent="0.2">
      <c r="A19" s="12" t="s">
        <v>112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19.5" customHeight="1" x14ac:dyDescent="0.2">
      <c r="A20" s="13" t="s">
        <v>103</v>
      </c>
    </row>
    <row r="21" spans="1:14" ht="19.5" customHeight="1" x14ac:dyDescent="0.2">
      <c r="A21" s="13" t="s">
        <v>110</v>
      </c>
    </row>
    <row r="22" spans="1:14" s="4" customFormat="1" ht="19.5" customHeight="1" x14ac:dyDescent="0.2">
      <c r="A22" s="12" t="s">
        <v>104</v>
      </c>
      <c r="B22" s="13"/>
      <c r="C22" s="13"/>
      <c r="D22" s="13"/>
      <c r="E22" s="13"/>
      <c r="F22" s="13"/>
      <c r="G22" s="15"/>
      <c r="H22" s="15"/>
      <c r="I22" s="15"/>
      <c r="J22" s="16"/>
      <c r="K22" s="15"/>
      <c r="L22" s="15"/>
    </row>
    <row r="23" spans="1:14" ht="19.5" customHeight="1" x14ac:dyDescent="0.2">
      <c r="A23" s="17" t="s">
        <v>24</v>
      </c>
      <c r="B23" s="4"/>
      <c r="C23" s="4"/>
      <c r="D23" s="9"/>
      <c r="E23" s="4"/>
      <c r="F23" s="4"/>
      <c r="G23" s="4"/>
      <c r="H23" s="4"/>
      <c r="I23" s="4"/>
      <c r="J23" s="4"/>
      <c r="K23" s="4"/>
      <c r="L23" s="4"/>
      <c r="M23" s="4"/>
    </row>
    <row r="24" spans="1:14" ht="16.5" customHeight="1" x14ac:dyDescent="0.2">
      <c r="A24" s="18"/>
      <c r="B24" s="4"/>
      <c r="C24" s="4"/>
      <c r="D24" s="9"/>
      <c r="E24" s="4"/>
      <c r="F24" s="4"/>
      <c r="G24" s="4"/>
      <c r="H24" s="4"/>
      <c r="I24" s="4"/>
      <c r="J24" s="4"/>
      <c r="K24" s="4"/>
      <c r="L24" s="4"/>
      <c r="M24" s="4"/>
    </row>
    <row r="25" spans="1:14" ht="18" customHeight="1" x14ac:dyDescent="0.2">
      <c r="A25" s="5" t="s">
        <v>98</v>
      </c>
      <c r="B25" s="6" t="s">
        <v>2</v>
      </c>
      <c r="C25" s="6"/>
      <c r="D25" s="6" t="s">
        <v>3</v>
      </c>
      <c r="E25" s="6"/>
      <c r="F25" s="6" t="s">
        <v>4</v>
      </c>
      <c r="G25" s="6"/>
      <c r="H25" s="6" t="s">
        <v>5</v>
      </c>
      <c r="I25" s="6"/>
      <c r="J25" s="6" t="s">
        <v>6</v>
      </c>
      <c r="K25" s="6"/>
      <c r="L25" s="6" t="s">
        <v>7</v>
      </c>
      <c r="M25" s="4"/>
    </row>
    <row r="26" spans="1:14" ht="18" customHeight="1" x14ac:dyDescent="0.2">
      <c r="A26" s="7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4"/>
    </row>
    <row r="27" spans="1:14" ht="16.5" customHeight="1" x14ac:dyDescent="0.2">
      <c r="A27" s="4" t="s">
        <v>9</v>
      </c>
      <c r="B27" s="31">
        <f>L27*0.25</f>
        <v>7916.5</v>
      </c>
      <c r="C27" s="8"/>
      <c r="D27" s="31">
        <f>L27*0.375</f>
        <v>11874.75</v>
      </c>
      <c r="E27" s="8"/>
      <c r="F27" s="31">
        <f>L27*0.5</f>
        <v>15833</v>
      </c>
      <c r="G27" s="8"/>
      <c r="H27" s="31">
        <f>L27*0.625</f>
        <v>19791.25</v>
      </c>
      <c r="I27" s="8"/>
      <c r="J27" s="31">
        <f>L27*0.75</f>
        <v>23749.5</v>
      </c>
      <c r="K27" s="8"/>
      <c r="L27" s="31">
        <v>31666</v>
      </c>
      <c r="M27" s="4"/>
      <c r="N27" s="19"/>
    </row>
    <row r="28" spans="1:14" x14ac:dyDescent="0.2">
      <c r="A28" s="4" t="s">
        <v>10</v>
      </c>
      <c r="B28" s="8">
        <f>(B27+B30+B29)*0.0828</f>
        <v>918.37620000000004</v>
      </c>
      <c r="C28" s="8"/>
      <c r="D28" s="8">
        <f>(D27+D30+D29)*0.0828</f>
        <v>1377.5643</v>
      </c>
      <c r="E28" s="8"/>
      <c r="F28" s="8">
        <f>(F27+F30+F29)*0.0828</f>
        <v>1836.7524000000001</v>
      </c>
      <c r="G28" s="8"/>
      <c r="H28" s="8">
        <f>(H27+H30+H29)*0.0828</f>
        <v>2295.9405000000002</v>
      </c>
      <c r="I28" s="8"/>
      <c r="J28" s="8">
        <f>(J27+J30+J29)*0.0828</f>
        <v>2755.1286</v>
      </c>
      <c r="K28" s="8"/>
      <c r="L28" s="8">
        <f>(L27+L30+L29)*0.0828</f>
        <v>3673.5048000000002</v>
      </c>
      <c r="M28" s="4"/>
    </row>
    <row r="29" spans="1:14" x14ac:dyDescent="0.2">
      <c r="A29" s="4" t="s">
        <v>11</v>
      </c>
      <c r="B29" s="8">
        <f>L29*0.25</f>
        <v>800</v>
      </c>
      <c r="C29" s="8"/>
      <c r="D29" s="8">
        <f>L29*0.375</f>
        <v>1200</v>
      </c>
      <c r="E29" s="8"/>
      <c r="F29" s="8">
        <f>L29*0.5</f>
        <v>1600</v>
      </c>
      <c r="G29" s="8"/>
      <c r="H29" s="8">
        <f>L29*0.625</f>
        <v>2000</v>
      </c>
      <c r="I29" s="8"/>
      <c r="J29" s="8">
        <f>L29*0.75</f>
        <v>2400</v>
      </c>
      <c r="K29" s="8"/>
      <c r="L29" s="8">
        <v>3200</v>
      </c>
      <c r="M29" s="10" t="s">
        <v>12</v>
      </c>
    </row>
    <row r="30" spans="1:14" x14ac:dyDescent="0.2">
      <c r="A30" s="4" t="s">
        <v>26</v>
      </c>
      <c r="B30" s="8">
        <f>L30*0.25</f>
        <v>2375</v>
      </c>
      <c r="C30" s="8"/>
      <c r="D30" s="8">
        <f>L30*0.375</f>
        <v>3562.5</v>
      </c>
      <c r="E30" s="8"/>
      <c r="F30" s="8">
        <f>L30*0.5</f>
        <v>4750</v>
      </c>
      <c r="G30" s="8"/>
      <c r="H30" s="8">
        <f>L30*0.625</f>
        <v>5937.5</v>
      </c>
      <c r="I30" s="8"/>
      <c r="J30" s="8">
        <f>L30*0.75</f>
        <v>7125</v>
      </c>
      <c r="K30" s="8"/>
      <c r="L30" s="8">
        <v>9500</v>
      </c>
      <c r="M30" s="4"/>
    </row>
    <row r="31" spans="1:14" x14ac:dyDescent="0.2">
      <c r="A31" s="4" t="s">
        <v>113</v>
      </c>
      <c r="B31" s="8">
        <f>L31*0.25</f>
        <v>1221.875</v>
      </c>
      <c r="C31" s="8"/>
      <c r="D31" s="8">
        <f>L31*0.375</f>
        <v>1832.8125</v>
      </c>
      <c r="E31" s="8"/>
      <c r="F31" s="8">
        <f>L31*0.5</f>
        <v>2443.75</v>
      </c>
      <c r="G31" s="8"/>
      <c r="H31" s="8">
        <f>L31*0.625</f>
        <v>3054.6875</v>
      </c>
      <c r="I31" s="8"/>
      <c r="J31" s="8">
        <f>L31*0.75</f>
        <v>3665.625</v>
      </c>
      <c r="K31" s="8"/>
      <c r="L31" s="8">
        <f>8500*0.575</f>
        <v>4887.5</v>
      </c>
      <c r="M31" s="4" t="s">
        <v>16</v>
      </c>
    </row>
    <row r="32" spans="1:14" x14ac:dyDescent="0.2">
      <c r="A32" s="4" t="s">
        <v>17</v>
      </c>
      <c r="B32" s="8">
        <v>1000</v>
      </c>
      <c r="C32" s="8"/>
      <c r="D32" s="8">
        <v>1000</v>
      </c>
      <c r="E32" s="8"/>
      <c r="F32" s="8">
        <v>1000</v>
      </c>
      <c r="G32" s="8"/>
      <c r="H32" s="8">
        <v>1000</v>
      </c>
      <c r="I32" s="8"/>
      <c r="J32" s="8">
        <v>1000</v>
      </c>
      <c r="K32" s="8"/>
      <c r="L32" s="8">
        <v>1000</v>
      </c>
      <c r="M32" s="4"/>
    </row>
    <row r="33" spans="1:13" x14ac:dyDescent="0.2">
      <c r="A33" s="4" t="s">
        <v>101</v>
      </c>
      <c r="B33" s="8">
        <f>44000*0.23</f>
        <v>10120</v>
      </c>
      <c r="C33" s="8"/>
      <c r="D33" s="8">
        <f>44000*0.23</f>
        <v>10120</v>
      </c>
      <c r="E33" s="8"/>
      <c r="F33" s="8">
        <f>44000*0.23</f>
        <v>10120</v>
      </c>
      <c r="G33" s="8"/>
      <c r="H33" s="8">
        <f>44000*0.23</f>
        <v>10120</v>
      </c>
      <c r="I33" s="8"/>
      <c r="J33" s="8">
        <f>44000*0.23</f>
        <v>10120</v>
      </c>
      <c r="K33" s="8"/>
      <c r="L33" s="20">
        <f>(L27+L29+L30)*0.23</f>
        <v>10204.18</v>
      </c>
      <c r="M33" s="4"/>
    </row>
    <row r="34" spans="1:13" x14ac:dyDescent="0.2">
      <c r="A34" s="4" t="s">
        <v>102</v>
      </c>
      <c r="B34" s="11">
        <f>(13850*0.12)</f>
        <v>1662</v>
      </c>
      <c r="C34" s="8"/>
      <c r="D34" s="11">
        <f>((D27+D29+D30)*0.12)</f>
        <v>1996.47</v>
      </c>
      <c r="E34" s="8"/>
      <c r="F34" s="11">
        <f>((F27+F29+F30)*0.12)</f>
        <v>2661.96</v>
      </c>
      <c r="G34" s="8"/>
      <c r="H34" s="11">
        <f>((H27+H29+H30)*0.12)</f>
        <v>3327.45</v>
      </c>
      <c r="I34" s="8"/>
      <c r="J34" s="11">
        <f>((J27+J29+J30)*0.12)</f>
        <v>3992.94</v>
      </c>
      <c r="K34" s="8"/>
      <c r="L34" s="11">
        <f>((L27+L29)+L30)*0.12</f>
        <v>5323.92</v>
      </c>
      <c r="M34" s="4"/>
    </row>
    <row r="35" spans="1:13" ht="20.25" customHeight="1" x14ac:dyDescent="0.2">
      <c r="A35" s="4" t="s">
        <v>29</v>
      </c>
      <c r="B35" s="31">
        <f>SUM(B27:B34)</f>
        <v>26013.751199999999</v>
      </c>
      <c r="C35" s="8"/>
      <c r="D35" s="31">
        <f>SUM(D27:D34)</f>
        <v>32964.096799999999</v>
      </c>
      <c r="E35" s="8"/>
      <c r="F35" s="31">
        <f>SUM(F27:F34)</f>
        <v>40245.462399999997</v>
      </c>
      <c r="G35" s="8"/>
      <c r="H35" s="31">
        <f>SUM(H27:H34)</f>
        <v>47526.827999999994</v>
      </c>
      <c r="I35" s="8"/>
      <c r="J35" s="31">
        <f>SUM(J27:J34)</f>
        <v>54808.193599999999</v>
      </c>
      <c r="K35" s="8"/>
      <c r="L35" s="31">
        <f>SUM(L27:L34)</f>
        <v>69455.104800000001</v>
      </c>
      <c r="M35" s="4"/>
    </row>
    <row r="36" spans="1:13" ht="15.95" customHeight="1" x14ac:dyDescent="0.2">
      <c r="A36" s="4" t="s">
        <v>106</v>
      </c>
      <c r="B36" s="11">
        <f>44000*0.015</f>
        <v>660</v>
      </c>
      <c r="C36" s="8"/>
      <c r="D36" s="11">
        <f t="shared" ref="D36:J36" si="1">44000*0.015</f>
        <v>660</v>
      </c>
      <c r="E36" s="11"/>
      <c r="F36" s="11">
        <f t="shared" si="1"/>
        <v>660</v>
      </c>
      <c r="G36" s="11"/>
      <c r="H36" s="11">
        <f t="shared" si="1"/>
        <v>660</v>
      </c>
      <c r="I36" s="11"/>
      <c r="J36" s="11">
        <f t="shared" si="1"/>
        <v>660</v>
      </c>
      <c r="K36" s="11"/>
      <c r="L36" s="11">
        <f>(L27+L29+L30)*0.015</f>
        <v>665.49</v>
      </c>
      <c r="M36" s="4"/>
    </row>
    <row r="37" spans="1:13" ht="20.25" customHeight="1" thickBot="1" x14ac:dyDescent="0.25">
      <c r="A37" s="4" t="s">
        <v>109</v>
      </c>
      <c r="B37" s="32">
        <f>SUM(B35:B36)</f>
        <v>26673.751199999999</v>
      </c>
      <c r="C37" s="8"/>
      <c r="D37" s="32">
        <f>SUM(D35:D36)</f>
        <v>33624.096799999999</v>
      </c>
      <c r="E37" s="8"/>
      <c r="F37" s="32">
        <f>SUM(F35:F36)</f>
        <v>40905.462399999997</v>
      </c>
      <c r="G37" s="8"/>
      <c r="H37" s="32">
        <f>SUM(H35:H36)</f>
        <v>48186.827999999994</v>
      </c>
      <c r="I37" s="8"/>
      <c r="J37" s="32">
        <f>SUM(J35:J36)</f>
        <v>55468.193599999999</v>
      </c>
      <c r="K37" s="8"/>
      <c r="L37" s="32">
        <f>SUM(L35:L36)</f>
        <v>70120.594800000006</v>
      </c>
      <c r="M37" s="4"/>
    </row>
    <row r="38" spans="1:13" ht="6" customHeight="1" thickTop="1" x14ac:dyDescent="0.2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4"/>
    </row>
    <row r="39" spans="1:13" ht="19.5" customHeight="1" x14ac:dyDescent="0.2">
      <c r="A39" s="12" t="s">
        <v>112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9.5" customHeight="1" x14ac:dyDescent="0.2">
      <c r="A40" s="13" t="s">
        <v>108</v>
      </c>
    </row>
    <row r="41" spans="1:13" ht="19.5" customHeight="1" x14ac:dyDescent="0.2">
      <c r="A41" s="13" t="s">
        <v>110</v>
      </c>
    </row>
    <row r="42" spans="1:13" s="4" customFormat="1" ht="19.5" customHeight="1" x14ac:dyDescent="0.2">
      <c r="A42" s="12" t="s">
        <v>104</v>
      </c>
      <c r="B42" s="13"/>
      <c r="C42" s="13"/>
      <c r="D42" s="13"/>
      <c r="E42" s="13"/>
      <c r="F42" s="13"/>
      <c r="G42" s="15"/>
      <c r="H42" s="15"/>
      <c r="I42" s="15"/>
      <c r="J42" s="16"/>
      <c r="K42" s="15"/>
      <c r="L42" s="15"/>
    </row>
    <row r="43" spans="1:13" ht="19.5" customHeight="1" x14ac:dyDescent="0.2">
      <c r="A43" s="17" t="s">
        <v>24</v>
      </c>
      <c r="D43" s="19"/>
      <c r="J43" s="19"/>
      <c r="L43" s="20"/>
    </row>
    <row r="44" spans="1:13" x14ac:dyDescent="0.2">
      <c r="B44" s="20"/>
      <c r="D44" s="20"/>
    </row>
  </sheetData>
  <pageMargins left="0.2" right="0.2" top="0.25" bottom="0.25" header="0.3" footer="0.3"/>
  <pageSetup scale="84" orientation="landscape" r:id="rId1"/>
  <ignoredErrors>
    <ignoredError sqref="B6:J6 B28:J28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" workbookViewId="0">
      <pane xSplit="1" topLeftCell="B1" activePane="topRight" state="frozen"/>
      <selection activeCell="A2" sqref="A2"/>
      <selection pane="topRight" activeCell="L25" sqref="L25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68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9.5" customHeight="1" x14ac:dyDescent="0.2">
      <c r="A5" s="4" t="s">
        <v>9</v>
      </c>
      <c r="B5" s="8">
        <f>L5*0.25</f>
        <v>6697.5</v>
      </c>
      <c r="C5" s="8"/>
      <c r="D5" s="8">
        <f>L5/3</f>
        <v>8930</v>
      </c>
      <c r="E5" s="8"/>
      <c r="F5" s="8">
        <f>L5/2</f>
        <v>13395</v>
      </c>
      <c r="G5" s="8"/>
      <c r="H5" s="8">
        <f>L5*2/3</f>
        <v>17860</v>
      </c>
      <c r="I5" s="8"/>
      <c r="J5" s="8">
        <f>L5*0.75</f>
        <v>20092.5</v>
      </c>
      <c r="K5" s="8"/>
      <c r="L5" s="8">
        <v>26790</v>
      </c>
      <c r="M5" s="9"/>
    </row>
    <row r="6" spans="1:15" x14ac:dyDescent="0.2">
      <c r="A6" s="4" t="s">
        <v>10</v>
      </c>
      <c r="B6" s="8">
        <f>(B5+B8+B7)*0.0828</f>
        <v>1014.093</v>
      </c>
      <c r="C6" s="8"/>
      <c r="D6" s="8">
        <f>(D5+D8+D7)*0.0828</f>
        <v>1219.643172</v>
      </c>
      <c r="E6" s="8"/>
      <c r="F6" s="8">
        <f>(F5+F8+F7)*0.0828</f>
        <v>1630.7459999999999</v>
      </c>
      <c r="G6" s="8"/>
      <c r="H6" s="8">
        <f>(H5+H8+H7)*0.0828</f>
        <v>2041.8478344</v>
      </c>
      <c r="I6" s="8"/>
      <c r="J6" s="8">
        <f>(J5+J8+J7)*0.0828</f>
        <v>2247.3989999999999</v>
      </c>
      <c r="K6" s="8"/>
      <c r="L6" s="8">
        <f>(L5+L8+L7)*0.0828</f>
        <v>2864.0520000000001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4800</v>
      </c>
      <c r="C8" s="8"/>
      <c r="D8" s="8">
        <v>4800</v>
      </c>
      <c r="E8" s="8"/>
      <c r="F8" s="8">
        <v>4800</v>
      </c>
      <c r="G8" s="8"/>
      <c r="H8" s="8">
        <v>4800</v>
      </c>
      <c r="I8" s="8"/>
      <c r="J8" s="8">
        <v>4800</v>
      </c>
      <c r="K8" s="8"/>
      <c r="L8" s="8">
        <v>4800</v>
      </c>
      <c r="M8" s="4"/>
    </row>
    <row r="9" spans="1:15" x14ac:dyDescent="0.2">
      <c r="A9" s="4" t="s">
        <v>69</v>
      </c>
      <c r="B9" s="8">
        <f>L9*0.25</f>
        <v>945.625</v>
      </c>
      <c r="C9" s="8"/>
      <c r="D9" s="8">
        <f>L9*0.33333</f>
        <v>1260.820725</v>
      </c>
      <c r="E9" s="8"/>
      <c r="F9" s="8">
        <f>L9*0.5</f>
        <v>1891.25</v>
      </c>
      <c r="G9" s="8"/>
      <c r="H9" s="8">
        <f>L9*0.666666</f>
        <v>2521.6641449999997</v>
      </c>
      <c r="I9" s="8"/>
      <c r="J9" s="8">
        <f>L9*0.75</f>
        <v>2836.875</v>
      </c>
      <c r="K9" s="8"/>
      <c r="L9" s="8">
        <f>8500*0.445</f>
        <v>3782.5</v>
      </c>
      <c r="M9" s="4" t="s">
        <v>16</v>
      </c>
    </row>
    <row r="10" spans="1:15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5" x14ac:dyDescent="0.2">
      <c r="A11" s="4" t="s">
        <v>18</v>
      </c>
      <c r="B11" s="8">
        <f>(((B5+B7)*1.3)*35/10)*0.19</f>
        <v>6438.3637500000004</v>
      </c>
      <c r="C11" s="8"/>
      <c r="D11" s="8">
        <f>(((D5+D7)*1.3))*35/13*0.19</f>
        <v>6603.4433500000005</v>
      </c>
      <c r="E11" s="8"/>
      <c r="F11" s="8">
        <f>(((F5+F7)*1.3)*35/20)*0.19</f>
        <v>6438.3637500000004</v>
      </c>
      <c r="G11" s="8"/>
      <c r="H11" s="8">
        <f>(((H5+H7)*1.3)*35/27)*0.19</f>
        <v>6358.8771374074076</v>
      </c>
      <c r="I11" s="8"/>
      <c r="J11" s="8">
        <f>(((J5+J7)*1.3)*35/30)*0.19</f>
        <v>6438.3637500000004</v>
      </c>
      <c r="K11" s="8"/>
      <c r="L11" s="8">
        <f>((L5+L7)*1.3)*0.19</f>
        <v>7358.13</v>
      </c>
      <c r="M11" s="4"/>
      <c r="O11">
        <f>29575*0.19</f>
        <v>5619.25</v>
      </c>
    </row>
    <row r="12" spans="1:15" x14ac:dyDescent="0.2">
      <c r="A12" s="4" t="s">
        <v>19</v>
      </c>
      <c r="B12" s="11">
        <f>11625*0.12</f>
        <v>1395</v>
      </c>
      <c r="C12" s="8"/>
      <c r="D12" s="11">
        <f>((D5+D7)*0.3+D5+D7)*0.12</f>
        <v>1549.0784399999998</v>
      </c>
      <c r="E12" s="8"/>
      <c r="F12" s="11">
        <f>((F5+F7)*0.3+F5+F7)*0.12</f>
        <v>2323.62</v>
      </c>
      <c r="G12" s="8"/>
      <c r="H12" s="11">
        <f>((H5+H7)*0.3+H5+H7)*0.12</f>
        <v>3098.1596879999997</v>
      </c>
      <c r="I12" s="8"/>
      <c r="J12" s="11">
        <f>((J5+J7)*0.3+J5+J7)*0.12</f>
        <v>3485.43</v>
      </c>
      <c r="K12" s="8"/>
      <c r="L12" s="11">
        <f>((L5+L7)*0.3+L5+L7)*0.12</f>
        <v>4647.24</v>
      </c>
      <c r="M12" s="4"/>
    </row>
    <row r="13" spans="1:15" ht="20.25" customHeight="1" x14ac:dyDescent="0.2">
      <c r="A13" s="4" t="s">
        <v>20</v>
      </c>
      <c r="B13" s="8">
        <f>SUM(B5:B12)-B8</f>
        <v>18240.581750000001</v>
      </c>
      <c r="C13" s="8"/>
      <c r="D13" s="8">
        <f>SUM(D5:D12)-D8</f>
        <v>21562.975687000002</v>
      </c>
      <c r="E13" s="8"/>
      <c r="F13" s="8">
        <f>SUM(F5:F12)-F8</f>
        <v>28178.979749999999</v>
      </c>
      <c r="G13" s="8"/>
      <c r="H13" s="8">
        <f>SUM(H5:H12)-H8</f>
        <v>34880.546804807404</v>
      </c>
      <c r="I13" s="8"/>
      <c r="J13" s="8">
        <f>SUM(J5:J12)-J8</f>
        <v>38350.567750000009</v>
      </c>
      <c r="K13" s="8"/>
      <c r="L13" s="8">
        <f>SUM(L5:L12)-L8</f>
        <v>49441.921999999991</v>
      </c>
      <c r="M13" s="4"/>
    </row>
    <row r="14" spans="1:15" ht="6.7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5" ht="19.5" customHeight="1" x14ac:dyDescent="0.2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 customHeight="1" x14ac:dyDescent="0.2">
      <c r="A16" s="13" t="s">
        <v>70</v>
      </c>
    </row>
    <row r="17" spans="1:14" ht="13.5" customHeight="1" x14ac:dyDescent="0.2">
      <c r="A17" s="14" t="s">
        <v>71</v>
      </c>
      <c r="B17" s="13"/>
      <c r="C17" s="13"/>
      <c r="D17" s="13"/>
      <c r="E17" s="13"/>
      <c r="F17" s="13"/>
      <c r="G17" s="15"/>
      <c r="H17" s="15"/>
      <c r="I17" s="15"/>
      <c r="J17" s="16"/>
      <c r="K17" s="15"/>
      <c r="L17" s="15"/>
      <c r="M17" s="4"/>
    </row>
    <row r="18" spans="1:14" ht="16.5" customHeight="1" x14ac:dyDescent="0.2">
      <c r="A18" s="17" t="s">
        <v>24</v>
      </c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</row>
    <row r="19" spans="1:14" ht="16.5" customHeight="1" x14ac:dyDescent="0.2">
      <c r="A19" s="18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20.25" customHeight="1" x14ac:dyDescent="0.2">
      <c r="A20" s="5" t="s">
        <v>68</v>
      </c>
      <c r="B20" s="5" t="s">
        <v>33</v>
      </c>
      <c r="C20" s="5"/>
      <c r="D20" s="5" t="s">
        <v>34</v>
      </c>
      <c r="E20" s="5"/>
      <c r="F20" s="5" t="s">
        <v>35</v>
      </c>
      <c r="G20" s="5"/>
      <c r="H20" s="5" t="s">
        <v>36</v>
      </c>
      <c r="I20" s="5"/>
      <c r="J20" s="5" t="s">
        <v>37</v>
      </c>
      <c r="K20" s="5"/>
      <c r="L20" s="5" t="s">
        <v>7</v>
      </c>
      <c r="M20" s="4"/>
    </row>
    <row r="21" spans="1:14" x14ac:dyDescent="0.2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/>
    </row>
    <row r="22" spans="1:14" x14ac:dyDescent="0.2">
      <c r="A22" s="4" t="s">
        <v>9</v>
      </c>
      <c r="B22" s="8">
        <f>L22*0.25</f>
        <v>6697.5</v>
      </c>
      <c r="C22" s="8"/>
      <c r="D22" s="8">
        <f>L22*0.333333</f>
        <v>8929.99107</v>
      </c>
      <c r="E22" s="8"/>
      <c r="F22" s="8">
        <f>L22/2</f>
        <v>13395</v>
      </c>
      <c r="G22" s="8"/>
      <c r="H22" s="8">
        <f>L22*0.6666666</f>
        <v>17859.998213999999</v>
      </c>
      <c r="I22" s="8"/>
      <c r="J22" s="8">
        <f>L22*0.75</f>
        <v>20092.5</v>
      </c>
      <c r="K22" s="8"/>
      <c r="L22" s="8">
        <v>26790</v>
      </c>
      <c r="M22" s="4"/>
      <c r="N22" s="19"/>
    </row>
    <row r="23" spans="1:14" x14ac:dyDescent="0.2">
      <c r="A23" s="4" t="s">
        <v>10</v>
      </c>
      <c r="B23" s="8">
        <f>(B22+B25+B24)*0.0828</f>
        <v>716.01300000000003</v>
      </c>
      <c r="C23" s="8"/>
      <c r="D23" s="8">
        <f>(D22+D25+D24)*0.0828</f>
        <v>954.68312811600003</v>
      </c>
      <c r="E23" s="8"/>
      <c r="F23" s="8">
        <f>(F22+F25+F24)*0.0828</f>
        <v>1432.0260000000001</v>
      </c>
      <c r="G23" s="8"/>
      <c r="H23" s="8">
        <f>(H22+H25+H24)*0.0828</f>
        <v>1909.3674215592</v>
      </c>
      <c r="I23" s="8"/>
      <c r="J23" s="8">
        <f>(J22+J25+J24)*0.0828</f>
        <v>2148.0389999999998</v>
      </c>
      <c r="K23" s="8"/>
      <c r="L23" s="8">
        <f>(L22+L25+L24)*0.0828</f>
        <v>2864.0520000000001</v>
      </c>
      <c r="M23" s="4"/>
    </row>
    <row r="24" spans="1:14" x14ac:dyDescent="0.2">
      <c r="A24" s="4" t="s">
        <v>11</v>
      </c>
      <c r="B24" s="8">
        <f>L24*0.25</f>
        <v>750</v>
      </c>
      <c r="C24" s="8"/>
      <c r="D24" s="8">
        <f>L24/3</f>
        <v>1000</v>
      </c>
      <c r="E24" s="8"/>
      <c r="F24" s="8">
        <f>L24*0.5</f>
        <v>1500</v>
      </c>
      <c r="G24" s="8"/>
      <c r="H24" s="8">
        <f>L24*0.666666</f>
        <v>1999.998</v>
      </c>
      <c r="I24" s="8"/>
      <c r="J24" s="8">
        <f>L24*0.75</f>
        <v>2250</v>
      </c>
      <c r="K24" s="8"/>
      <c r="L24" s="8">
        <v>3000</v>
      </c>
      <c r="M24" s="4"/>
    </row>
    <row r="25" spans="1:14" x14ac:dyDescent="0.2">
      <c r="A25" s="4" t="s">
        <v>26</v>
      </c>
      <c r="B25" s="8">
        <f>L25*0.25</f>
        <v>1200</v>
      </c>
      <c r="C25" s="8"/>
      <c r="D25" s="8">
        <f>L25*0.333333</f>
        <v>1599.9983999999999</v>
      </c>
      <c r="E25" s="8"/>
      <c r="F25" s="8">
        <f>L25*0.5</f>
        <v>2400</v>
      </c>
      <c r="G25" s="8"/>
      <c r="H25" s="8">
        <f>L25*0.666666</f>
        <v>3199.9967999999999</v>
      </c>
      <c r="I25" s="8"/>
      <c r="J25" s="8">
        <f>L25*0.75</f>
        <v>3600</v>
      </c>
      <c r="K25" s="8"/>
      <c r="L25" s="8">
        <v>4800</v>
      </c>
      <c r="M25" s="4"/>
    </row>
    <row r="26" spans="1:14" x14ac:dyDescent="0.2">
      <c r="A26" s="4" t="s">
        <v>72</v>
      </c>
      <c r="B26" s="8">
        <f>L26*0.25</f>
        <v>945.625</v>
      </c>
      <c r="C26" s="8"/>
      <c r="D26" s="8">
        <f>L26*0.33333</f>
        <v>1260.820725</v>
      </c>
      <c r="E26" s="8"/>
      <c r="F26" s="8">
        <f>L26*0.5</f>
        <v>1891.25</v>
      </c>
      <c r="G26" s="8"/>
      <c r="H26" s="8">
        <f>L26*0.666666</f>
        <v>2521.6641449999997</v>
      </c>
      <c r="I26" s="8"/>
      <c r="J26" s="8">
        <f>L26*0.75</f>
        <v>2836.875</v>
      </c>
      <c r="K26" s="8"/>
      <c r="L26" s="8">
        <f>8500*0.445</f>
        <v>3782.5</v>
      </c>
      <c r="M26" s="4" t="s">
        <v>16</v>
      </c>
    </row>
    <row r="27" spans="1:14" x14ac:dyDescent="0.2">
      <c r="A27" s="4" t="s">
        <v>17</v>
      </c>
      <c r="B27" s="8">
        <v>1000</v>
      </c>
      <c r="C27" s="8"/>
      <c r="D27" s="8">
        <v>1000</v>
      </c>
      <c r="E27" s="8"/>
      <c r="F27" s="8">
        <v>1000</v>
      </c>
      <c r="G27" s="8"/>
      <c r="H27" s="8">
        <v>1000</v>
      </c>
      <c r="I27" s="8"/>
      <c r="J27" s="8">
        <v>1000</v>
      </c>
      <c r="K27" s="8"/>
      <c r="L27" s="8">
        <v>1000</v>
      </c>
      <c r="M27" s="4"/>
    </row>
    <row r="28" spans="1:14" x14ac:dyDescent="0.2">
      <c r="A28" s="4" t="s">
        <v>27</v>
      </c>
      <c r="B28" s="8">
        <f>((B22+B24+B25)*35/10)*0.19</f>
        <v>5750.5874999999996</v>
      </c>
      <c r="C28" s="8"/>
      <c r="D28" s="8">
        <f>((D22+D24+D25)*2.625)*0.19</f>
        <v>5750.5822481625</v>
      </c>
      <c r="E28" s="8"/>
      <c r="F28" s="8">
        <f>((F22+F24+F25)*35/20)*0.19</f>
        <v>5750.5874999999996</v>
      </c>
      <c r="G28" s="8"/>
      <c r="H28" s="8">
        <f>((H22+H24+H25)*35/26.67)*0.19</f>
        <v>5749.8670244881887</v>
      </c>
      <c r="I28" s="8"/>
      <c r="J28" s="8">
        <f>((20093+2250+3600)*35/30)*0.19</f>
        <v>5750.6983333333328</v>
      </c>
      <c r="K28" s="8"/>
      <c r="L28" s="20">
        <f>(L22+L24+L25)*0.19</f>
        <v>6572.1</v>
      </c>
      <c r="M28" s="4"/>
    </row>
    <row r="29" spans="1:14" x14ac:dyDescent="0.2">
      <c r="A29" s="4" t="s">
        <v>28</v>
      </c>
      <c r="B29" s="11">
        <f>(11375*0.12)</f>
        <v>1365</v>
      </c>
      <c r="C29" s="8"/>
      <c r="D29" s="11">
        <f>11375*0.12</f>
        <v>1365</v>
      </c>
      <c r="E29" s="8"/>
      <c r="F29" s="11">
        <f>((F22+F24+F25)*0.12)</f>
        <v>2075.4</v>
      </c>
      <c r="G29" s="8"/>
      <c r="H29" s="11">
        <f>((H22+H24+H25)*0.12)</f>
        <v>2767.1991616799996</v>
      </c>
      <c r="I29" s="8"/>
      <c r="J29" s="11">
        <f>((J22+J24+J25)*0.12)</f>
        <v>3113.1</v>
      </c>
      <c r="K29" s="8"/>
      <c r="L29" s="11">
        <f>((L22+L24)+L25)*0.12</f>
        <v>4150.8</v>
      </c>
      <c r="M29" s="4"/>
    </row>
    <row r="30" spans="1:14" ht="20.25" customHeight="1" x14ac:dyDescent="0.2">
      <c r="A30" s="4" t="s">
        <v>29</v>
      </c>
      <c r="B30" s="8">
        <f>SUM(B22:B29)</f>
        <v>18424.7255</v>
      </c>
      <c r="C30" s="8"/>
      <c r="D30" s="8">
        <f>SUM(D22:D29)</f>
        <v>21861.075571278499</v>
      </c>
      <c r="E30" s="8"/>
      <c r="F30" s="8">
        <f>SUM(F22:F29)</f>
        <v>29444.263500000001</v>
      </c>
      <c r="G30" s="8"/>
      <c r="H30" s="8">
        <f>SUM(H22:H29)</f>
        <v>37008.090766727386</v>
      </c>
      <c r="I30" s="8"/>
      <c r="J30" s="8">
        <f>SUM(J22:J29)</f>
        <v>40791.212333333329</v>
      </c>
      <c r="K30" s="8"/>
      <c r="L30" s="8">
        <f>SUM(L22:L29)</f>
        <v>52959.451999999997</v>
      </c>
      <c r="M30" s="4"/>
    </row>
    <row r="31" spans="1:14" ht="6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4" ht="12.75" customHeight="1" x14ac:dyDescent="0.2">
      <c r="A32" s="13" t="s">
        <v>73</v>
      </c>
    </row>
    <row r="33" spans="1:13" ht="12.75" customHeight="1" x14ac:dyDescent="0.2">
      <c r="A33" s="14" t="s">
        <v>74</v>
      </c>
      <c r="B33" s="13"/>
      <c r="C33" s="13"/>
      <c r="D33" s="13"/>
      <c r="E33" s="13"/>
      <c r="F33" s="13"/>
      <c r="G33" s="15"/>
      <c r="H33" s="15"/>
      <c r="I33" s="15"/>
      <c r="J33" s="16"/>
      <c r="K33" s="15"/>
      <c r="L33" s="15"/>
      <c r="M33" s="4"/>
    </row>
    <row r="34" spans="1:13" ht="15.75" customHeight="1" x14ac:dyDescent="0.2">
      <c r="A34" s="17" t="s">
        <v>24</v>
      </c>
      <c r="D34" s="19"/>
      <c r="J34" s="19"/>
      <c r="L34" s="20"/>
    </row>
    <row r="35" spans="1:13" x14ac:dyDescent="0.2">
      <c r="B35" s="20"/>
      <c r="D35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" workbookViewId="0">
      <pane xSplit="1" topLeftCell="D1" activePane="topRight" state="frozen"/>
      <selection activeCell="A2" sqref="A2"/>
      <selection pane="topRight" activeCell="F5" sqref="F5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75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9.5" customHeight="1" x14ac:dyDescent="0.2">
      <c r="A5" s="4" t="s">
        <v>9</v>
      </c>
      <c r="B5" s="8">
        <f>L5*0.25</f>
        <v>6508.75</v>
      </c>
      <c r="C5" s="8"/>
      <c r="D5" s="8">
        <f>L5*0.333333</f>
        <v>8678.3246550000003</v>
      </c>
      <c r="E5" s="8"/>
      <c r="F5" s="8">
        <f>L5/2</f>
        <v>13017.5</v>
      </c>
      <c r="G5" s="8"/>
      <c r="H5" s="8">
        <f>L5*0.6666666</f>
        <v>17356.664930999999</v>
      </c>
      <c r="I5" s="8"/>
      <c r="J5" s="8">
        <f>L5*0.75</f>
        <v>19526.25</v>
      </c>
      <c r="K5" s="8"/>
      <c r="L5" s="8">
        <v>26035</v>
      </c>
      <c r="M5" s="9"/>
    </row>
    <row r="6" spans="1:15" x14ac:dyDescent="0.2">
      <c r="A6" s="4" t="s">
        <v>10</v>
      </c>
      <c r="B6" s="8">
        <f>(B5+B8+B7)*0.0828</f>
        <v>998.46449999999993</v>
      </c>
      <c r="C6" s="8"/>
      <c r="D6" s="8">
        <f>(D5+D8+D7)*0.0828</f>
        <v>1198.8044534339999</v>
      </c>
      <c r="E6" s="8"/>
      <c r="F6" s="8">
        <f>(F5+F8+F7)*0.0828</f>
        <v>1599.489</v>
      </c>
      <c r="G6" s="8"/>
      <c r="H6" s="8">
        <f>(H5+H8+H7)*0.0828</f>
        <v>2000.1716906867998</v>
      </c>
      <c r="I6" s="8"/>
      <c r="J6" s="8">
        <f>(J5+J8+J7)*0.0828</f>
        <v>2200.5135</v>
      </c>
      <c r="K6" s="8"/>
      <c r="L6" s="8">
        <f>(L5+L8+L7)*0.0828</f>
        <v>2801.538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4800</v>
      </c>
      <c r="C8" s="8"/>
      <c r="D8" s="8">
        <v>4800</v>
      </c>
      <c r="E8" s="8"/>
      <c r="F8" s="8">
        <v>4800</v>
      </c>
      <c r="G8" s="8"/>
      <c r="H8" s="8">
        <v>4800</v>
      </c>
      <c r="I8" s="8"/>
      <c r="J8" s="8">
        <v>4800</v>
      </c>
      <c r="K8" s="8"/>
      <c r="L8" s="8">
        <v>4800</v>
      </c>
      <c r="M8" s="4"/>
    </row>
    <row r="9" spans="1:15" x14ac:dyDescent="0.2">
      <c r="A9" s="4" t="s">
        <v>76</v>
      </c>
      <c r="B9" s="8">
        <f>L9*0.25</f>
        <v>860.625</v>
      </c>
      <c r="C9" s="8"/>
      <c r="D9" s="8">
        <f>L9*0.33333</f>
        <v>1147.488525</v>
      </c>
      <c r="E9" s="8"/>
      <c r="F9" s="8">
        <f>L9*0.5</f>
        <v>1721.25</v>
      </c>
      <c r="G9" s="8"/>
      <c r="H9" s="8">
        <f>L9*0.666666</f>
        <v>2294.9977049999998</v>
      </c>
      <c r="I9" s="8"/>
      <c r="J9" s="8">
        <f>L9*0.75</f>
        <v>2581.875</v>
      </c>
      <c r="K9" s="8"/>
      <c r="L9" s="8">
        <f>8500*0.405</f>
        <v>3442.5</v>
      </c>
      <c r="M9" s="4" t="s">
        <v>16</v>
      </c>
    </row>
    <row r="10" spans="1:15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5" x14ac:dyDescent="0.2">
      <c r="A11" s="4" t="s">
        <v>18</v>
      </c>
      <c r="B11" s="8">
        <f>((((6509+750)*1.3))*35/10)*0.19</f>
        <v>6275.4054999999998</v>
      </c>
      <c r="C11" s="8"/>
      <c r="D11" s="8">
        <f>((((8678+1000)*1.3))*35/13.333)*0.19</f>
        <v>6275.1301282532067</v>
      </c>
      <c r="E11" s="8"/>
      <c r="F11" s="8">
        <f>((((13018+1500)*1.3))*35/20)*0.19</f>
        <v>6275.4054999999998</v>
      </c>
      <c r="G11" s="8"/>
      <c r="H11" s="8">
        <f>((((17357+2000)*1.3))*35/26.666)*0.19</f>
        <v>6275.4543238580973</v>
      </c>
      <c r="I11" s="8"/>
      <c r="J11" s="8">
        <f>(((19526+2250)*1.3)*35/30)*0.19</f>
        <v>6275.1173333333336</v>
      </c>
      <c r="K11" s="8"/>
      <c r="L11" s="8">
        <f>((L5+L7)*1.3)*0.19</f>
        <v>7171.6450000000004</v>
      </c>
      <c r="M11" s="4">
        <f>(29035*1.3)*0.19</f>
        <v>7171.6450000000004</v>
      </c>
      <c r="O11">
        <f>29575*0.19</f>
        <v>5619.25</v>
      </c>
    </row>
    <row r="12" spans="1:15" x14ac:dyDescent="0.2">
      <c r="A12" s="4" t="s">
        <v>19</v>
      </c>
      <c r="B12" s="11">
        <f>11375*0.12</f>
        <v>1365</v>
      </c>
      <c r="C12" s="8"/>
      <c r="D12" s="11">
        <f>((D5+D7)*0.3+D5+D7)*0.12</f>
        <v>1509.8170861799999</v>
      </c>
      <c r="E12" s="8"/>
      <c r="F12" s="11">
        <f>((F5+F7)*0.3+F5+F7)*0.12</f>
        <v>2264.73</v>
      </c>
      <c r="G12" s="8"/>
      <c r="H12" s="11">
        <f>((H5+H7)*0.3+H5+H7)*0.12</f>
        <v>3019.6394172360001</v>
      </c>
      <c r="I12" s="8"/>
      <c r="J12" s="11">
        <f>((J5+J7)*0.3+J5+J7)*0.12</f>
        <v>3397.0949999999998</v>
      </c>
      <c r="K12" s="8"/>
      <c r="L12" s="11">
        <f>((L5+L7)*0.3+L5+L7)*0.12</f>
        <v>4529.46</v>
      </c>
      <c r="M12" s="4"/>
    </row>
    <row r="13" spans="1:15" ht="20.25" customHeight="1" x14ac:dyDescent="0.2">
      <c r="A13" s="4" t="s">
        <v>20</v>
      </c>
      <c r="B13" s="8">
        <f>SUM(B5:B12)-B8</f>
        <v>17758.244999999999</v>
      </c>
      <c r="C13" s="8"/>
      <c r="D13" s="8">
        <f>SUM(D5:D12)-D8</f>
        <v>20809.554847867206</v>
      </c>
      <c r="E13" s="8"/>
      <c r="F13" s="8">
        <f>SUM(F5:F12)-F8</f>
        <v>27378.374500000002</v>
      </c>
      <c r="G13" s="8"/>
      <c r="H13" s="8">
        <f>SUM(H5:H12)-H8</f>
        <v>33946.926067780892</v>
      </c>
      <c r="I13" s="8"/>
      <c r="J13" s="8">
        <f>SUM(J5:J12)-J8</f>
        <v>37230.850833333338</v>
      </c>
      <c r="K13" s="8"/>
      <c r="L13" s="8">
        <f>SUM(L5:L12)-L8</f>
        <v>47980.143000000004</v>
      </c>
      <c r="M13" s="4"/>
    </row>
    <row r="14" spans="1:15" ht="6.7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5" ht="19.5" customHeight="1" x14ac:dyDescent="0.2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 customHeight="1" x14ac:dyDescent="0.2">
      <c r="A16" s="13" t="s">
        <v>70</v>
      </c>
    </row>
    <row r="17" spans="1:14" ht="13.5" customHeight="1" x14ac:dyDescent="0.2">
      <c r="A17" s="14" t="s">
        <v>77</v>
      </c>
      <c r="B17" s="13"/>
      <c r="C17" s="13"/>
      <c r="D17" s="13"/>
      <c r="E17" s="13"/>
      <c r="F17" s="13"/>
      <c r="G17" s="15"/>
      <c r="H17" s="15"/>
      <c r="I17" s="15"/>
      <c r="J17" s="16"/>
      <c r="K17" s="15"/>
      <c r="L17" s="15"/>
      <c r="M17" s="4"/>
    </row>
    <row r="18" spans="1:14" ht="16.5" customHeight="1" x14ac:dyDescent="0.2">
      <c r="A18" s="17" t="s">
        <v>24</v>
      </c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</row>
    <row r="19" spans="1:14" ht="16.5" customHeight="1" x14ac:dyDescent="0.2">
      <c r="A19" s="18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20.25" customHeight="1" x14ac:dyDescent="0.2">
      <c r="A20" s="5" t="s">
        <v>75</v>
      </c>
      <c r="B20" s="5" t="s">
        <v>33</v>
      </c>
      <c r="C20" s="5"/>
      <c r="D20" s="5" t="s">
        <v>34</v>
      </c>
      <c r="E20" s="5"/>
      <c r="F20" s="5" t="s">
        <v>35</v>
      </c>
      <c r="G20" s="5"/>
      <c r="H20" s="5" t="s">
        <v>36</v>
      </c>
      <c r="I20" s="5"/>
      <c r="J20" s="5" t="s">
        <v>37</v>
      </c>
      <c r="K20" s="5"/>
      <c r="L20" s="5" t="s">
        <v>7</v>
      </c>
      <c r="M20" s="4"/>
    </row>
    <row r="21" spans="1:14" x14ac:dyDescent="0.2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/>
    </row>
    <row r="22" spans="1:14" x14ac:dyDescent="0.2">
      <c r="A22" s="4" t="s">
        <v>9</v>
      </c>
      <c r="B22" s="8">
        <f>L22*0.25</f>
        <v>6508.75</v>
      </c>
      <c r="C22" s="8"/>
      <c r="D22" s="8">
        <f>L22*0.333333</f>
        <v>8678.3246550000003</v>
      </c>
      <c r="E22" s="8"/>
      <c r="F22" s="8">
        <f>L22/2</f>
        <v>13017.5</v>
      </c>
      <c r="G22" s="8"/>
      <c r="H22" s="8">
        <f>L22*0.6666666</f>
        <v>17356.664930999999</v>
      </c>
      <c r="I22" s="8"/>
      <c r="J22" s="8">
        <f>L22*0.75</f>
        <v>19526.25</v>
      </c>
      <c r="K22" s="8"/>
      <c r="L22" s="8">
        <v>26035</v>
      </c>
      <c r="M22" s="4"/>
      <c r="N22" s="19"/>
    </row>
    <row r="23" spans="1:14" x14ac:dyDescent="0.2">
      <c r="A23" s="4" t="s">
        <v>10</v>
      </c>
      <c r="B23" s="8">
        <f>(B22+B25+B24)*0.0828</f>
        <v>700.3845</v>
      </c>
      <c r="C23" s="8"/>
      <c r="D23" s="8">
        <f>(D22+D25+D24)*0.0828</f>
        <v>933.84514895400002</v>
      </c>
      <c r="E23" s="8"/>
      <c r="F23" s="8">
        <f>(F22+F25+F24)*0.0828</f>
        <v>1400.769</v>
      </c>
      <c r="G23" s="8"/>
      <c r="H23" s="8">
        <f>(H22+H25+H24)*0.0828</f>
        <v>1867.6914257267999</v>
      </c>
      <c r="I23" s="8"/>
      <c r="J23" s="8">
        <f>(J22+J25+J24)*0.0828</f>
        <v>2101.1534999999999</v>
      </c>
      <c r="K23" s="8"/>
      <c r="L23" s="8">
        <f>(L22+L25+L24)*0.0828</f>
        <v>2801.538</v>
      </c>
      <c r="M23" s="4"/>
    </row>
    <row r="24" spans="1:14" x14ac:dyDescent="0.2">
      <c r="A24" s="4" t="s">
        <v>11</v>
      </c>
      <c r="B24" s="8">
        <f>L24*0.25</f>
        <v>750</v>
      </c>
      <c r="C24" s="8"/>
      <c r="D24" s="8">
        <f>L24/3</f>
        <v>1000</v>
      </c>
      <c r="E24" s="8"/>
      <c r="F24" s="8">
        <f>L24*0.5</f>
        <v>1500</v>
      </c>
      <c r="G24" s="8"/>
      <c r="H24" s="8">
        <f>L24*0.666666</f>
        <v>1999.998</v>
      </c>
      <c r="I24" s="8"/>
      <c r="J24" s="8">
        <f>L24*0.75</f>
        <v>2250</v>
      </c>
      <c r="K24" s="8"/>
      <c r="L24" s="8">
        <v>3000</v>
      </c>
      <c r="M24" s="4"/>
    </row>
    <row r="25" spans="1:14" x14ac:dyDescent="0.2">
      <c r="A25" s="4" t="s">
        <v>26</v>
      </c>
      <c r="B25" s="8">
        <f>L25*0.25</f>
        <v>1200</v>
      </c>
      <c r="C25" s="8"/>
      <c r="D25" s="8">
        <f>L25*0.333333</f>
        <v>1599.9983999999999</v>
      </c>
      <c r="E25" s="8"/>
      <c r="F25" s="8">
        <f>L25*0.5</f>
        <v>2400</v>
      </c>
      <c r="G25" s="8"/>
      <c r="H25" s="8">
        <f>L25*0.666666</f>
        <v>3199.9967999999999</v>
      </c>
      <c r="I25" s="8"/>
      <c r="J25" s="8">
        <f>L25*0.75</f>
        <v>3600</v>
      </c>
      <c r="K25" s="8"/>
      <c r="L25" s="8">
        <v>4800</v>
      </c>
      <c r="M25" s="4"/>
    </row>
    <row r="26" spans="1:14" x14ac:dyDescent="0.2">
      <c r="A26" s="4" t="s">
        <v>78</v>
      </c>
      <c r="B26" s="8">
        <f>L26*0.25</f>
        <v>860.625</v>
      </c>
      <c r="C26" s="8"/>
      <c r="D26" s="8">
        <f>L26*0.33333</f>
        <v>1147.488525</v>
      </c>
      <c r="E26" s="8"/>
      <c r="F26" s="8">
        <f>L26*0.5</f>
        <v>1721.25</v>
      </c>
      <c r="G26" s="8"/>
      <c r="H26" s="8">
        <f>L26*0.666666</f>
        <v>2294.9977049999998</v>
      </c>
      <c r="I26" s="8"/>
      <c r="J26" s="8">
        <f>8500*0.36*0.75</f>
        <v>2295</v>
      </c>
      <c r="K26" s="8"/>
      <c r="L26" s="8">
        <f>8500*0.405</f>
        <v>3442.5</v>
      </c>
      <c r="M26" s="4" t="s">
        <v>16</v>
      </c>
    </row>
    <row r="27" spans="1:14" x14ac:dyDescent="0.2">
      <c r="A27" s="4" t="s">
        <v>17</v>
      </c>
      <c r="B27" s="8">
        <v>1000</v>
      </c>
      <c r="C27" s="8"/>
      <c r="D27" s="8">
        <v>1000</v>
      </c>
      <c r="E27" s="8"/>
      <c r="F27" s="8">
        <v>1000</v>
      </c>
      <c r="G27" s="8"/>
      <c r="H27" s="8">
        <v>1000</v>
      </c>
      <c r="I27" s="8"/>
      <c r="J27" s="8">
        <v>1000</v>
      </c>
      <c r="K27" s="8"/>
      <c r="L27" s="8">
        <v>1000</v>
      </c>
      <c r="M27" s="4"/>
    </row>
    <row r="28" spans="1:14" x14ac:dyDescent="0.2">
      <c r="A28" s="4" t="s">
        <v>27</v>
      </c>
      <c r="B28" s="8">
        <v>5625</v>
      </c>
      <c r="C28" s="8"/>
      <c r="D28" s="8">
        <v>5625</v>
      </c>
      <c r="E28" s="8"/>
      <c r="F28" s="8">
        <f>((F22+F24+F25)*35/20)*0.19</f>
        <v>5625.0687500000004</v>
      </c>
      <c r="G28" s="8"/>
      <c r="H28" s="8">
        <f>((H22+H24+H25)*35/26.6666)*0.19</f>
        <v>5625.0810831208337</v>
      </c>
      <c r="I28" s="8"/>
      <c r="J28" s="8">
        <f>((19526+2250+3600)*35/30)*0.19</f>
        <v>5625.0133333333333</v>
      </c>
      <c r="K28" s="8"/>
      <c r="L28" s="20">
        <f>(L22+L24+L25)*0.19</f>
        <v>6428.65</v>
      </c>
      <c r="M28" s="4"/>
    </row>
    <row r="29" spans="1:14" x14ac:dyDescent="0.2">
      <c r="A29" s="4" t="s">
        <v>28</v>
      </c>
      <c r="B29" s="11">
        <f>(11375*0.12)</f>
        <v>1365</v>
      </c>
      <c r="C29" s="8"/>
      <c r="D29" s="11">
        <f>11375*0.12</f>
        <v>1365</v>
      </c>
      <c r="E29" s="8"/>
      <c r="F29" s="11">
        <f>((F22+F24+F25)*0.12)</f>
        <v>2030.1</v>
      </c>
      <c r="G29" s="8"/>
      <c r="H29" s="11">
        <f>((H22+H24+H25)*0.12)</f>
        <v>2706.7991677199998</v>
      </c>
      <c r="I29" s="8"/>
      <c r="J29" s="11">
        <f>((J22+J24+J25)*0.12)</f>
        <v>3045.15</v>
      </c>
      <c r="K29" s="8"/>
      <c r="L29" s="11">
        <f>((L22+L24)+L25)*0.12</f>
        <v>4060.2</v>
      </c>
      <c r="M29" s="4"/>
    </row>
    <row r="30" spans="1:14" ht="20.25" customHeight="1" x14ac:dyDescent="0.2">
      <c r="A30" s="4" t="s">
        <v>29</v>
      </c>
      <c r="B30" s="8">
        <f>SUM(B22:B29)</f>
        <v>18009.7595</v>
      </c>
      <c r="C30" s="8"/>
      <c r="D30" s="8">
        <f>SUM(D22:D29)</f>
        <v>21349.656728954003</v>
      </c>
      <c r="E30" s="8"/>
      <c r="F30" s="8">
        <f>SUM(F22:F29)</f>
        <v>28694.687749999997</v>
      </c>
      <c r="G30" s="8"/>
      <c r="H30" s="8">
        <f>SUM(H22:H29)</f>
        <v>36051.229112567635</v>
      </c>
      <c r="I30" s="8"/>
      <c r="J30" s="8">
        <f>SUM(J22:J29)</f>
        <v>39442.566833333338</v>
      </c>
      <c r="K30" s="8"/>
      <c r="L30" s="8">
        <f>SUM(L22:L29)</f>
        <v>51567.887999999999</v>
      </c>
      <c r="M30" s="4"/>
    </row>
    <row r="31" spans="1:14" ht="6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4" ht="12.75" customHeight="1" x14ac:dyDescent="0.2">
      <c r="A32" s="13" t="s">
        <v>73</v>
      </c>
    </row>
    <row r="33" spans="1:13" ht="12.75" customHeight="1" x14ac:dyDescent="0.2">
      <c r="A33" s="14" t="s">
        <v>79</v>
      </c>
      <c r="B33" s="13"/>
      <c r="C33" s="13"/>
      <c r="D33" s="13"/>
      <c r="E33" s="13"/>
      <c r="F33" s="13"/>
      <c r="G33" s="15"/>
      <c r="H33" s="15"/>
      <c r="I33" s="15"/>
      <c r="J33" s="16">
        <f>19526+2250+3600</f>
        <v>25376</v>
      </c>
      <c r="K33" s="15"/>
      <c r="L33" s="15">
        <f>5957/0.185</f>
        <v>32200</v>
      </c>
      <c r="M33" s="4"/>
    </row>
    <row r="34" spans="1:13" ht="15.75" customHeight="1" x14ac:dyDescent="0.2">
      <c r="A34" s="17" t="s">
        <v>24</v>
      </c>
      <c r="D34" s="19"/>
      <c r="J34" s="19"/>
      <c r="L34" s="20"/>
    </row>
    <row r="35" spans="1:13" x14ac:dyDescent="0.2">
      <c r="B35" s="20"/>
      <c r="D35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" workbookViewId="0">
      <pane xSplit="1" topLeftCell="F1" activePane="topRight" state="frozen"/>
      <selection activeCell="A2" sqref="A2"/>
      <selection pane="topRight" activeCell="B11" sqref="B11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4" width="10.28515625" customWidth="1"/>
  </cols>
  <sheetData>
    <row r="1" spans="1:15" s="2" customFormat="1" ht="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80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9.5" customHeight="1" x14ac:dyDescent="0.2">
      <c r="A5" s="4" t="s">
        <v>9</v>
      </c>
      <c r="B5" s="8">
        <f>L5*0.25</f>
        <v>6350</v>
      </c>
      <c r="C5" s="8"/>
      <c r="D5" s="8">
        <f>L5*0.333333</f>
        <v>8466.6581999999999</v>
      </c>
      <c r="E5" s="8"/>
      <c r="F5" s="8">
        <f>L5/2</f>
        <v>12700</v>
      </c>
      <c r="G5" s="8"/>
      <c r="H5" s="8">
        <f>L5*0.6666666</f>
        <v>16933.33164</v>
      </c>
      <c r="I5" s="8"/>
      <c r="J5" s="8">
        <f>L5*0.75</f>
        <v>19050</v>
      </c>
      <c r="K5" s="8"/>
      <c r="L5" s="8">
        <v>25400</v>
      </c>
      <c r="M5" s="9"/>
      <c r="O5">
        <f>(22000*1.3)</f>
        <v>28600</v>
      </c>
    </row>
    <row r="6" spans="1:15" x14ac:dyDescent="0.2">
      <c r="A6" s="4" t="s">
        <v>10</v>
      </c>
      <c r="B6" s="8">
        <f>(B5+B8+B7)*0.0828</f>
        <v>964.62</v>
      </c>
      <c r="C6" s="8"/>
      <c r="D6" s="8">
        <f>(D5+D8+D7)*0.0828</f>
        <v>1153.6792989599999</v>
      </c>
      <c r="E6" s="8"/>
      <c r="F6" s="8">
        <f>(F5+F8+F7)*0.0828</f>
        <v>1531.8</v>
      </c>
      <c r="G6" s="8"/>
      <c r="H6" s="8">
        <f>(H5+H8+H7)*0.0828</f>
        <v>1909.9197493919999</v>
      </c>
      <c r="I6" s="8"/>
      <c r="J6" s="8">
        <f>(J5+J8+J7)*0.0828</f>
        <v>2098.98</v>
      </c>
      <c r="K6" s="8"/>
      <c r="L6" s="8">
        <f>(L5+L8+L7)*0.0828</f>
        <v>2666.16</v>
      </c>
      <c r="M6" s="4"/>
    </row>
    <row r="7" spans="1:15" x14ac:dyDescent="0.2">
      <c r="A7" s="4" t="s">
        <v>11</v>
      </c>
      <c r="B7" s="8">
        <v>500</v>
      </c>
      <c r="C7" s="8"/>
      <c r="D7" s="8">
        <f>L7/3</f>
        <v>666.66666666666663</v>
      </c>
      <c r="E7" s="8"/>
      <c r="F7" s="8">
        <v>1000</v>
      </c>
      <c r="G7" s="8"/>
      <c r="H7" s="8">
        <f>L7*0.666666</f>
        <v>1333.3319999999999</v>
      </c>
      <c r="I7" s="8"/>
      <c r="J7" s="8">
        <f>L7*0.75</f>
        <v>1500</v>
      </c>
      <c r="K7" s="8"/>
      <c r="L7" s="8">
        <v>2000</v>
      </c>
      <c r="M7" s="4"/>
    </row>
    <row r="8" spans="1:15" x14ac:dyDescent="0.2">
      <c r="A8" s="4" t="s">
        <v>13</v>
      </c>
      <c r="B8" s="8">
        <v>4800</v>
      </c>
      <c r="C8" s="8"/>
      <c r="D8" s="8">
        <v>4800</v>
      </c>
      <c r="E8" s="8"/>
      <c r="F8" s="8">
        <v>4800</v>
      </c>
      <c r="G8" s="8"/>
      <c r="H8" s="8">
        <v>4800</v>
      </c>
      <c r="I8" s="8"/>
      <c r="J8" s="8">
        <v>4800</v>
      </c>
      <c r="K8" s="8"/>
      <c r="L8" s="8">
        <v>4800</v>
      </c>
      <c r="M8" s="4"/>
    </row>
    <row r="9" spans="1:15" x14ac:dyDescent="0.2">
      <c r="A9" s="4" t="s">
        <v>81</v>
      </c>
      <c r="B9" s="8">
        <f>L9*0.25</f>
        <v>765</v>
      </c>
      <c r="C9" s="8"/>
      <c r="D9" s="8">
        <f>L9*0.33333</f>
        <v>1019.9898000000001</v>
      </c>
      <c r="E9" s="8"/>
      <c r="F9" s="8">
        <f>L9*0.5</f>
        <v>1530</v>
      </c>
      <c r="G9" s="8"/>
      <c r="H9" s="8">
        <f>L9*0.666666</f>
        <v>2039.9979599999999</v>
      </c>
      <c r="I9" s="8"/>
      <c r="J9" s="8">
        <f>L9*0.75</f>
        <v>2295</v>
      </c>
      <c r="K9" s="8"/>
      <c r="L9" s="8">
        <f>8500*0.36</f>
        <v>3060</v>
      </c>
      <c r="M9" s="4" t="s">
        <v>16</v>
      </c>
    </row>
    <row r="10" spans="1:15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5" x14ac:dyDescent="0.2">
      <c r="A11" s="4" t="s">
        <v>18</v>
      </c>
      <c r="B11" s="8">
        <f>(35620*0.185)</f>
        <v>6589.7</v>
      </c>
      <c r="C11" s="8"/>
      <c r="D11" s="8">
        <v>6590</v>
      </c>
      <c r="E11" s="8"/>
      <c r="F11" s="8">
        <v>6590</v>
      </c>
      <c r="G11" s="8"/>
      <c r="H11" s="8">
        <v>6590</v>
      </c>
      <c r="I11" s="8"/>
      <c r="J11" s="8">
        <v>6590</v>
      </c>
      <c r="K11" s="8"/>
      <c r="L11" s="8">
        <f>((L5+L7)*1.3)*0.185</f>
        <v>6589.7</v>
      </c>
      <c r="M11" s="4"/>
    </row>
    <row r="12" spans="1:15" x14ac:dyDescent="0.2">
      <c r="A12" s="4" t="s">
        <v>19</v>
      </c>
      <c r="B12" s="11">
        <f>(11050*0.12)</f>
        <v>1326</v>
      </c>
      <c r="C12" s="8"/>
      <c r="D12" s="11">
        <f>((D5+D7)*0.3+D5+D7)*0.12</f>
        <v>1424.7986791999999</v>
      </c>
      <c r="E12" s="8"/>
      <c r="F12" s="11">
        <f>((F5+F7)*0.3+F5+F7)*0.12</f>
        <v>2137.1999999999998</v>
      </c>
      <c r="G12" s="8"/>
      <c r="H12" s="11">
        <f>((H5+H7)*0.3+H5+H7)*0.12</f>
        <v>2849.5995278399996</v>
      </c>
      <c r="I12" s="8"/>
      <c r="J12" s="11">
        <f>((J5+J7)*0.3+J5+J7)*0.12</f>
        <v>3205.7999999999997</v>
      </c>
      <c r="K12" s="8"/>
      <c r="L12" s="11">
        <f>((L5+L7)*0.3+L5+L7)*0.12</f>
        <v>4274.3999999999996</v>
      </c>
      <c r="M12" s="4"/>
    </row>
    <row r="13" spans="1:15" ht="20.25" customHeight="1" x14ac:dyDescent="0.2">
      <c r="A13" s="4" t="s">
        <v>20</v>
      </c>
      <c r="B13" s="8">
        <f>SUM(B5:B12)-B8</f>
        <v>17495.32</v>
      </c>
      <c r="C13" s="8"/>
      <c r="D13" s="8">
        <f>SUM(D5:D12)-D8</f>
        <v>20321.792644826666</v>
      </c>
      <c r="E13" s="8"/>
      <c r="F13" s="8">
        <f>SUM(F5:F12)-F8</f>
        <v>26489</v>
      </c>
      <c r="G13" s="8"/>
      <c r="H13" s="8">
        <f>SUM(H5:H12)-H8</f>
        <v>32656.180877232</v>
      </c>
      <c r="I13" s="8"/>
      <c r="J13" s="8">
        <f>SUM(J5:J12)-J8</f>
        <v>35739.78</v>
      </c>
      <c r="K13" s="8"/>
      <c r="L13" s="8">
        <f>SUM(L5:L12)-L8</f>
        <v>44990.26</v>
      </c>
      <c r="M13" s="4"/>
    </row>
    <row r="14" spans="1:15" ht="6.7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5" ht="19.5" customHeight="1" x14ac:dyDescent="0.2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 customHeight="1" x14ac:dyDescent="0.2">
      <c r="A16" s="13" t="s">
        <v>82</v>
      </c>
    </row>
    <row r="17" spans="1:14" ht="13.5" customHeight="1" x14ac:dyDescent="0.2">
      <c r="A17" s="14" t="s">
        <v>83</v>
      </c>
      <c r="B17" s="13"/>
      <c r="C17" s="13"/>
      <c r="D17" s="13"/>
      <c r="E17" s="13"/>
      <c r="F17" s="13"/>
      <c r="G17" s="15"/>
      <c r="H17" s="15"/>
      <c r="I17" s="15"/>
      <c r="J17" s="16"/>
      <c r="K17" s="15"/>
      <c r="L17" s="15"/>
      <c r="M17" s="4"/>
    </row>
    <row r="18" spans="1:14" ht="16.5" customHeight="1" x14ac:dyDescent="0.2">
      <c r="A18" s="17" t="s">
        <v>24</v>
      </c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</row>
    <row r="19" spans="1:14" ht="16.5" customHeight="1" x14ac:dyDescent="0.2">
      <c r="A19" s="18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20.25" customHeight="1" x14ac:dyDescent="0.2">
      <c r="A20" s="5" t="s">
        <v>80</v>
      </c>
      <c r="B20" s="5" t="s">
        <v>33</v>
      </c>
      <c r="C20" s="5"/>
      <c r="D20" s="5" t="s">
        <v>34</v>
      </c>
      <c r="E20" s="5"/>
      <c r="F20" s="5" t="s">
        <v>35</v>
      </c>
      <c r="G20" s="5"/>
      <c r="H20" s="5" t="s">
        <v>36</v>
      </c>
      <c r="I20" s="5"/>
      <c r="J20" s="5" t="s">
        <v>37</v>
      </c>
      <c r="K20" s="5"/>
      <c r="L20" s="5" t="s">
        <v>7</v>
      </c>
      <c r="M20" s="4"/>
    </row>
    <row r="21" spans="1:14" x14ac:dyDescent="0.2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/>
    </row>
    <row r="22" spans="1:14" x14ac:dyDescent="0.2">
      <c r="A22" s="4" t="s">
        <v>9</v>
      </c>
      <c r="B22" s="8">
        <f>L22*0.25</f>
        <v>6350</v>
      </c>
      <c r="C22" s="8"/>
      <c r="D22" s="8">
        <f>L22*0.333333</f>
        <v>8466.6581999999999</v>
      </c>
      <c r="E22" s="8"/>
      <c r="F22" s="8">
        <f>L22/2</f>
        <v>12700</v>
      </c>
      <c r="G22" s="8"/>
      <c r="H22" s="8">
        <f>L22*0.6666666</f>
        <v>16933.33164</v>
      </c>
      <c r="I22" s="8"/>
      <c r="J22" s="8">
        <f>L22*0.75</f>
        <v>19050</v>
      </c>
      <c r="K22" s="8"/>
      <c r="L22" s="8">
        <v>25400</v>
      </c>
      <c r="M22" s="4"/>
      <c r="N22" s="19"/>
    </row>
    <row r="23" spans="1:14" x14ac:dyDescent="0.2">
      <c r="A23" s="4" t="s">
        <v>10</v>
      </c>
      <c r="B23" s="8">
        <f>(B22+B25+B24)*0.0828</f>
        <v>666.54</v>
      </c>
      <c r="C23" s="8"/>
      <c r="D23" s="8">
        <f>(D22+D25+D24)*0.0828</f>
        <v>888.71916648000001</v>
      </c>
      <c r="E23" s="8"/>
      <c r="F23" s="8">
        <f>(F22+F25+F24)*0.0828</f>
        <v>1333.08</v>
      </c>
      <c r="G23" s="8"/>
      <c r="H23" s="8">
        <f>(H22+H25+H24)*0.0828</f>
        <v>1777.439484432</v>
      </c>
      <c r="I23" s="8"/>
      <c r="J23" s="8">
        <f>(J22+J25+J24)*0.0828</f>
        <v>1999.62</v>
      </c>
      <c r="K23" s="8"/>
      <c r="L23" s="8">
        <f>(L22+L25+L24)*0.0828</f>
        <v>2666.16</v>
      </c>
      <c r="M23" s="4"/>
    </row>
    <row r="24" spans="1:14" x14ac:dyDescent="0.2">
      <c r="A24" s="4" t="s">
        <v>11</v>
      </c>
      <c r="B24" s="8">
        <v>500</v>
      </c>
      <c r="C24" s="8"/>
      <c r="D24" s="8">
        <f>L24/3</f>
        <v>666.66666666666663</v>
      </c>
      <c r="E24" s="8"/>
      <c r="F24" s="8">
        <v>1000</v>
      </c>
      <c r="G24" s="8"/>
      <c r="H24" s="8">
        <f>L24*0.666666</f>
        <v>1333.3319999999999</v>
      </c>
      <c r="I24" s="8"/>
      <c r="J24" s="8">
        <f>L24*0.75</f>
        <v>1500</v>
      </c>
      <c r="K24" s="8"/>
      <c r="L24" s="8">
        <v>2000</v>
      </c>
      <c r="M24" s="4"/>
    </row>
    <row r="25" spans="1:14" x14ac:dyDescent="0.2">
      <c r="A25" s="4" t="s">
        <v>26</v>
      </c>
      <c r="B25" s="8">
        <f>L25*0.25</f>
        <v>1200</v>
      </c>
      <c r="C25" s="8"/>
      <c r="D25" s="8">
        <f>L25*0.333333</f>
        <v>1599.9983999999999</v>
      </c>
      <c r="E25" s="8"/>
      <c r="F25" s="8">
        <f>L25*0.5</f>
        <v>2400</v>
      </c>
      <c r="G25" s="8"/>
      <c r="H25" s="8">
        <f>L25*0.666666</f>
        <v>3199.9967999999999</v>
      </c>
      <c r="I25" s="8"/>
      <c r="J25" s="8">
        <f>L25*0.75</f>
        <v>3600</v>
      </c>
      <c r="K25" s="8"/>
      <c r="L25" s="8">
        <v>4800</v>
      </c>
      <c r="M25" s="4"/>
    </row>
    <row r="26" spans="1:14" x14ac:dyDescent="0.2">
      <c r="A26" s="4" t="s">
        <v>81</v>
      </c>
      <c r="B26" s="8">
        <f>L26*0.25</f>
        <v>765</v>
      </c>
      <c r="C26" s="8"/>
      <c r="D26" s="8">
        <f>L26*0.33333</f>
        <v>1019.9898000000001</v>
      </c>
      <c r="E26" s="8"/>
      <c r="F26" s="8">
        <f>L26*0.5</f>
        <v>1530</v>
      </c>
      <c r="G26" s="8"/>
      <c r="H26" s="8">
        <f>L26*0.666666</f>
        <v>2039.9979599999999</v>
      </c>
      <c r="I26" s="8"/>
      <c r="J26" s="8">
        <f>8500*0.36*0.75</f>
        <v>2295</v>
      </c>
      <c r="K26" s="8"/>
      <c r="L26" s="8">
        <f>8500*0.36</f>
        <v>3060</v>
      </c>
      <c r="M26" s="4" t="s">
        <v>16</v>
      </c>
    </row>
    <row r="27" spans="1:14" x14ac:dyDescent="0.2">
      <c r="A27" s="4" t="s">
        <v>17</v>
      </c>
      <c r="B27" s="8">
        <v>1000</v>
      </c>
      <c r="C27" s="8"/>
      <c r="D27" s="8">
        <v>1000</v>
      </c>
      <c r="E27" s="8"/>
      <c r="F27" s="8">
        <v>1000</v>
      </c>
      <c r="G27" s="8"/>
      <c r="H27" s="8">
        <v>1000</v>
      </c>
      <c r="I27" s="8"/>
      <c r="J27" s="8">
        <v>1000</v>
      </c>
      <c r="K27" s="8"/>
      <c r="L27" s="8">
        <v>1000</v>
      </c>
      <c r="M27" s="4"/>
    </row>
    <row r="28" spans="1:14" x14ac:dyDescent="0.2">
      <c r="A28" s="4" t="s">
        <v>27</v>
      </c>
      <c r="B28" s="8">
        <v>5957</v>
      </c>
      <c r="C28" s="8"/>
      <c r="D28" s="8">
        <v>5957</v>
      </c>
      <c r="E28" s="8"/>
      <c r="F28" s="8">
        <v>5957</v>
      </c>
      <c r="G28" s="8"/>
      <c r="H28" s="8">
        <v>5957</v>
      </c>
      <c r="I28" s="8"/>
      <c r="J28" s="8">
        <v>5957</v>
      </c>
      <c r="K28" s="8"/>
      <c r="L28" s="20">
        <f>(L22+L24+L25)*0.185</f>
        <v>5957</v>
      </c>
      <c r="M28" s="4"/>
    </row>
    <row r="29" spans="1:14" x14ac:dyDescent="0.2">
      <c r="A29" s="4" t="s">
        <v>28</v>
      </c>
      <c r="B29" s="11">
        <f>(11050*0.12)</f>
        <v>1326</v>
      </c>
      <c r="C29" s="8"/>
      <c r="D29" s="11">
        <f>11050*0.12</f>
        <v>1326</v>
      </c>
      <c r="E29" s="8"/>
      <c r="F29" s="11">
        <f>((F22+F24+F25)*0.12)</f>
        <v>1932</v>
      </c>
      <c r="G29" s="8"/>
      <c r="H29" s="11">
        <f>((H22+H24+H25)*0.12)</f>
        <v>2575.9992527999998</v>
      </c>
      <c r="I29" s="8"/>
      <c r="J29" s="11">
        <f>((J22+J24+J25)*0.12)</f>
        <v>2898</v>
      </c>
      <c r="K29" s="8"/>
      <c r="L29" s="11">
        <f>((L22+L24)+L25)*0.12</f>
        <v>3864</v>
      </c>
      <c r="M29" s="4"/>
    </row>
    <row r="30" spans="1:14" ht="20.25" customHeight="1" x14ac:dyDescent="0.2">
      <c r="A30" s="4" t="s">
        <v>29</v>
      </c>
      <c r="B30" s="8">
        <f>SUM(B22:B29)</f>
        <v>17764.54</v>
      </c>
      <c r="C30" s="8"/>
      <c r="D30" s="8">
        <f>SUM(D22:D29)</f>
        <v>20925.032233146667</v>
      </c>
      <c r="E30" s="8"/>
      <c r="F30" s="8">
        <f>SUM(F22:F29)</f>
        <v>27852.080000000002</v>
      </c>
      <c r="G30" s="8"/>
      <c r="H30" s="8">
        <f>SUM(H22:H29)</f>
        <v>34817.097137231998</v>
      </c>
      <c r="I30" s="8"/>
      <c r="J30" s="8">
        <f>SUM(J22:J29)</f>
        <v>38299.619999999995</v>
      </c>
      <c r="K30" s="8"/>
      <c r="L30" s="8">
        <f>SUM(L22:L29)</f>
        <v>48747.16</v>
      </c>
      <c r="M30" s="4"/>
    </row>
    <row r="31" spans="1:14" ht="6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4" ht="12.75" customHeight="1" x14ac:dyDescent="0.2">
      <c r="A32" s="13" t="s">
        <v>84</v>
      </c>
    </row>
    <row r="33" spans="1:13" ht="12.75" customHeight="1" x14ac:dyDescent="0.2">
      <c r="A33" s="14" t="s">
        <v>85</v>
      </c>
      <c r="B33" s="13"/>
      <c r="C33" s="13"/>
      <c r="D33" s="13"/>
      <c r="E33" s="13"/>
      <c r="F33" s="13"/>
      <c r="G33" s="15"/>
      <c r="H33" s="15"/>
      <c r="I33" s="15"/>
      <c r="J33" s="16"/>
      <c r="K33" s="15"/>
      <c r="L33" s="15"/>
      <c r="M33" s="4"/>
    </row>
    <row r="34" spans="1:13" ht="15.75" customHeight="1" x14ac:dyDescent="0.2">
      <c r="A34" s="17" t="s">
        <v>24</v>
      </c>
      <c r="D34" s="19"/>
      <c r="J34" s="19"/>
      <c r="L34" s="20"/>
    </row>
    <row r="35" spans="1:13" x14ac:dyDescent="0.2">
      <c r="B35" s="20"/>
      <c r="D35" s="20"/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C7" workbookViewId="0">
      <selection activeCell="B24" sqref="B24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4" width="10.28515625" customWidth="1"/>
  </cols>
  <sheetData>
    <row r="1" spans="1:13" s="2" customFormat="1" ht="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5" t="s">
        <v>86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3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ht="19.5" customHeight="1" x14ac:dyDescent="0.2">
      <c r="A5" s="4" t="s">
        <v>9</v>
      </c>
      <c r="B5" s="8">
        <f>L5*0.25</f>
        <v>5948.5</v>
      </c>
      <c r="C5" s="8"/>
      <c r="D5" s="8">
        <f>L5*0.333333</f>
        <v>7931.3254019999995</v>
      </c>
      <c r="E5" s="8"/>
      <c r="F5" s="8">
        <f>L5/2</f>
        <v>11897</v>
      </c>
      <c r="G5" s="8"/>
      <c r="H5" s="8">
        <f>L5*0.6666666</f>
        <v>15862.6650804</v>
      </c>
      <c r="I5" s="8"/>
      <c r="J5" s="8">
        <f>L5*0.75</f>
        <v>17845.5</v>
      </c>
      <c r="K5" s="8"/>
      <c r="L5" s="8">
        <v>23794</v>
      </c>
      <c r="M5" s="9"/>
    </row>
    <row r="6" spans="1:13" x14ac:dyDescent="0.2">
      <c r="A6" s="4" t="s">
        <v>10</v>
      </c>
      <c r="B6" s="8">
        <f>(B5+B8+B7)*0.0828</f>
        <v>931.37580000000003</v>
      </c>
      <c r="C6" s="8"/>
      <c r="D6" s="8">
        <f>(D5+D8+D7)*0.0828</f>
        <v>1109.3537432855999</v>
      </c>
      <c r="E6" s="8"/>
      <c r="F6" s="8">
        <f>(F5+F8+F7)*0.0828</f>
        <v>1465.3116</v>
      </c>
      <c r="G6" s="8"/>
      <c r="H6" s="8">
        <f>(H5+H8+H7)*0.0828</f>
        <v>1821.26855825712</v>
      </c>
      <c r="I6" s="8"/>
      <c r="J6" s="8">
        <f>(J5+J8+J7)*0.0828</f>
        <v>1999.2474</v>
      </c>
      <c r="K6" s="8"/>
      <c r="L6" s="8">
        <f>(L5+L8+L7)*0.0828</f>
        <v>2533.1831999999999</v>
      </c>
      <c r="M6" s="4"/>
    </row>
    <row r="7" spans="1:13" x14ac:dyDescent="0.2">
      <c r="A7" s="4" t="s">
        <v>11</v>
      </c>
      <c r="B7" s="8">
        <v>500</v>
      </c>
      <c r="C7" s="8"/>
      <c r="D7" s="8">
        <f>L7/3</f>
        <v>666.66666666666663</v>
      </c>
      <c r="E7" s="8"/>
      <c r="F7" s="8">
        <v>1000</v>
      </c>
      <c r="G7" s="8"/>
      <c r="H7" s="8">
        <f>L7*0.666666</f>
        <v>1333.3319999999999</v>
      </c>
      <c r="I7" s="8"/>
      <c r="J7" s="8">
        <f>L7*0.75</f>
        <v>1500</v>
      </c>
      <c r="K7" s="8"/>
      <c r="L7" s="8">
        <v>2000</v>
      </c>
      <c r="M7" s="4"/>
    </row>
    <row r="8" spans="1:13" x14ac:dyDescent="0.2">
      <c r="A8" s="4" t="s">
        <v>13</v>
      </c>
      <c r="B8" s="8">
        <v>4800</v>
      </c>
      <c r="C8" s="8"/>
      <c r="D8" s="8">
        <v>4800</v>
      </c>
      <c r="E8" s="8"/>
      <c r="F8" s="8">
        <v>4800</v>
      </c>
      <c r="G8" s="8"/>
      <c r="H8" s="8">
        <v>4800</v>
      </c>
      <c r="I8" s="8"/>
      <c r="J8" s="8">
        <v>4800</v>
      </c>
      <c r="K8" s="8"/>
      <c r="L8" s="8">
        <v>4800</v>
      </c>
      <c r="M8" s="4"/>
    </row>
    <row r="9" spans="1:13" x14ac:dyDescent="0.2">
      <c r="A9" s="4" t="s">
        <v>81</v>
      </c>
      <c r="B9" s="8">
        <f>L9*0.25</f>
        <v>765</v>
      </c>
      <c r="C9" s="8"/>
      <c r="D9" s="8">
        <f>L9*0.33333</f>
        <v>1019.9898000000001</v>
      </c>
      <c r="E9" s="8"/>
      <c r="F9" s="8">
        <f>L9*0.5</f>
        <v>1530</v>
      </c>
      <c r="G9" s="8"/>
      <c r="H9" s="8">
        <f>L9*0.666666</f>
        <v>2039.9979599999999</v>
      </c>
      <c r="I9" s="8"/>
      <c r="J9" s="8">
        <f>L9*0.75</f>
        <v>2295</v>
      </c>
      <c r="K9" s="8"/>
      <c r="L9" s="8">
        <f>8500*0.36</f>
        <v>3060</v>
      </c>
      <c r="M9" s="4" t="s">
        <v>16</v>
      </c>
    </row>
    <row r="10" spans="1:13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3" x14ac:dyDescent="0.2">
      <c r="A11" s="4" t="s">
        <v>87</v>
      </c>
      <c r="B11" s="11">
        <f>(10800*0.12)+(23760*0.17)</f>
        <v>5335.2000000000007</v>
      </c>
      <c r="C11" s="8"/>
      <c r="D11" s="11">
        <f>((D5+D7)*0.3+D5+D7)*0.12+(23760*0.17)</f>
        <v>5380.4867627120002</v>
      </c>
      <c r="E11" s="8"/>
      <c r="F11" s="11">
        <f>((F5+F7)*0.3+F5+F7)*0.12+(23760*0.17)</f>
        <v>6051.1319999999996</v>
      </c>
      <c r="G11" s="8"/>
      <c r="H11" s="11">
        <f>((H5+H7)*0.3+H5+H7)*0.12+(23760*0.17)</f>
        <v>6721.7755445424</v>
      </c>
      <c r="I11" s="8"/>
      <c r="J11" s="11">
        <f>((J5+J7)*0.3+J5+J7)*0.29</f>
        <v>7293.2534999999998</v>
      </c>
      <c r="K11" s="8"/>
      <c r="L11" s="11">
        <f>((L5+L7)*0.3+L5+L7)*0.29</f>
        <v>9724.3379999999979</v>
      </c>
      <c r="M11" s="4"/>
    </row>
    <row r="12" spans="1:13" ht="20.25" customHeight="1" x14ac:dyDescent="0.2">
      <c r="A12" s="4" t="s">
        <v>20</v>
      </c>
      <c r="B12" s="8">
        <f>SUM(B5:B11)-B8</f>
        <v>14480.075799999999</v>
      </c>
      <c r="C12" s="8"/>
      <c r="D12" s="8">
        <f>SUM(D5:D11)-D8</f>
        <v>17107.822374664265</v>
      </c>
      <c r="E12" s="8"/>
      <c r="F12" s="8">
        <f>SUM(F5:F11)-F8</f>
        <v>22943.443599999999</v>
      </c>
      <c r="G12" s="8"/>
      <c r="H12" s="8">
        <f>SUM(H5:H11)-H8</f>
        <v>28779.039143199516</v>
      </c>
      <c r="I12" s="8"/>
      <c r="J12" s="8">
        <f>SUM(J5:J11)-J8</f>
        <v>31933.000899999999</v>
      </c>
      <c r="K12" s="8"/>
      <c r="L12" s="8">
        <f>SUM(L5:L11)-L8</f>
        <v>42111.521199999996</v>
      </c>
      <c r="M12" s="4"/>
    </row>
    <row r="13" spans="1:13" ht="19.5" customHeight="1" x14ac:dyDescent="0.2">
      <c r="A13" s="12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13" t="s">
        <v>88</v>
      </c>
      <c r="B14" s="13"/>
      <c r="C14" s="13"/>
      <c r="D14" s="13"/>
      <c r="E14" s="13"/>
      <c r="F14" s="13"/>
      <c r="G14" s="15"/>
      <c r="H14" s="15"/>
      <c r="I14" s="15"/>
      <c r="J14" s="16"/>
      <c r="K14" s="15"/>
      <c r="L14" s="15"/>
      <c r="M14" s="4"/>
    </row>
    <row r="15" spans="1:13" x14ac:dyDescent="0.2">
      <c r="A15" s="4"/>
      <c r="B15" s="4"/>
      <c r="C15" s="4"/>
      <c r="D15" s="9"/>
      <c r="E15" s="4"/>
      <c r="F15" s="4"/>
      <c r="G15" s="4"/>
      <c r="H15" s="4"/>
      <c r="I15" s="4"/>
      <c r="J15" s="4"/>
      <c r="K15" s="4"/>
      <c r="L15" s="4"/>
      <c r="M15" s="4"/>
    </row>
    <row r="16" spans="1:13" ht="20.25" customHeight="1" x14ac:dyDescent="0.2">
      <c r="A16" s="5" t="s">
        <v>86</v>
      </c>
      <c r="B16" s="5" t="s">
        <v>33</v>
      </c>
      <c r="C16" s="5"/>
      <c r="D16" s="5" t="s">
        <v>34</v>
      </c>
      <c r="E16" s="5"/>
      <c r="F16" s="5" t="s">
        <v>35</v>
      </c>
      <c r="G16" s="5"/>
      <c r="H16" s="5" t="s">
        <v>36</v>
      </c>
      <c r="I16" s="5"/>
      <c r="J16" s="5" t="s">
        <v>37</v>
      </c>
      <c r="K16" s="5"/>
      <c r="L16" s="5" t="s">
        <v>7</v>
      </c>
      <c r="M16" s="4"/>
    </row>
    <row r="17" spans="1:14" x14ac:dyDescent="0.2">
      <c r="A17" s="7" t="s">
        <v>25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/>
    </row>
    <row r="18" spans="1:14" x14ac:dyDescent="0.2">
      <c r="A18" s="4" t="s">
        <v>9</v>
      </c>
      <c r="B18" s="8">
        <f>L18*0.25</f>
        <v>5948.5</v>
      </c>
      <c r="C18" s="8"/>
      <c r="D18" s="8">
        <f>L18*0.333333</f>
        <v>7931.3254019999995</v>
      </c>
      <c r="E18" s="8"/>
      <c r="F18" s="8">
        <f>L18/2</f>
        <v>11897</v>
      </c>
      <c r="G18" s="8"/>
      <c r="H18" s="8">
        <f>L18*0.6666666</f>
        <v>15862.6650804</v>
      </c>
      <c r="I18" s="8"/>
      <c r="J18" s="8">
        <f>L18*0.75</f>
        <v>17845.5</v>
      </c>
      <c r="K18" s="8"/>
      <c r="L18" s="8">
        <v>23794</v>
      </c>
      <c r="M18" s="4"/>
      <c r="N18" s="19"/>
    </row>
    <row r="19" spans="1:14" x14ac:dyDescent="0.2">
      <c r="A19" s="4" t="s">
        <v>10</v>
      </c>
      <c r="B19" s="8">
        <f>(B18+B21+B20)*0.0828</f>
        <v>633.29579999999999</v>
      </c>
      <c r="C19" s="8"/>
      <c r="D19" s="8">
        <f>(D18+D21+D20)*0.0828</f>
        <v>844.39361080559991</v>
      </c>
      <c r="E19" s="8"/>
      <c r="F19" s="8">
        <f>(F18+F21+F20)*0.0828</f>
        <v>1266.5916</v>
      </c>
      <c r="G19" s="8"/>
      <c r="H19" s="8">
        <f>(H18+H21+H20)*0.0828</f>
        <v>1688.7882932971197</v>
      </c>
      <c r="I19" s="8"/>
      <c r="J19" s="8">
        <f>(J18+J21+J20)*0.0828</f>
        <v>1899.8874000000001</v>
      </c>
      <c r="K19" s="8"/>
      <c r="L19" s="8">
        <f>(L18+L21+L20)*0.0828</f>
        <v>2533.1831999999999</v>
      </c>
      <c r="M19" s="4"/>
    </row>
    <row r="20" spans="1:14" x14ac:dyDescent="0.2">
      <c r="A20" s="4" t="s">
        <v>11</v>
      </c>
      <c r="B20" s="8">
        <v>500</v>
      </c>
      <c r="C20" s="8"/>
      <c r="D20" s="8">
        <f>L20/3</f>
        <v>666.66666666666663</v>
      </c>
      <c r="E20" s="8"/>
      <c r="F20" s="8">
        <v>1000</v>
      </c>
      <c r="G20" s="8"/>
      <c r="H20" s="8">
        <f>L20*0.666666</f>
        <v>1333.3319999999999</v>
      </c>
      <c r="I20" s="8"/>
      <c r="J20" s="8">
        <f>L20*0.75</f>
        <v>1500</v>
      </c>
      <c r="K20" s="8"/>
      <c r="L20" s="8">
        <v>2000</v>
      </c>
      <c r="M20" s="4"/>
    </row>
    <row r="21" spans="1:14" x14ac:dyDescent="0.2">
      <c r="A21" s="4" t="s">
        <v>26</v>
      </c>
      <c r="B21" s="8">
        <f>L21*0.25</f>
        <v>1200</v>
      </c>
      <c r="C21" s="8"/>
      <c r="D21" s="8">
        <f>L21*0.333333</f>
        <v>1599.9983999999999</v>
      </c>
      <c r="E21" s="8"/>
      <c r="F21" s="8">
        <f>L21*0.5</f>
        <v>2400</v>
      </c>
      <c r="G21" s="8"/>
      <c r="H21" s="8">
        <f>L21*0.666666</f>
        <v>3199.9967999999999</v>
      </c>
      <c r="I21" s="8"/>
      <c r="J21" s="8">
        <f>L21*0.75</f>
        <v>3600</v>
      </c>
      <c r="K21" s="8"/>
      <c r="L21" s="8">
        <v>4800</v>
      </c>
      <c r="M21" s="4"/>
    </row>
    <row r="22" spans="1:14" x14ac:dyDescent="0.2">
      <c r="A22" s="4" t="s">
        <v>81</v>
      </c>
      <c r="B22" s="8">
        <f>L22*0.25</f>
        <v>765</v>
      </c>
      <c r="C22" s="8"/>
      <c r="D22" s="8">
        <f>L22*0.33333</f>
        <v>1019.9898000000001</v>
      </c>
      <c r="E22" s="8"/>
      <c r="F22" s="8">
        <f>L22*0.5</f>
        <v>1530</v>
      </c>
      <c r="G22" s="8"/>
      <c r="H22" s="8">
        <f>L22*0.666666</f>
        <v>2039.9979599999999</v>
      </c>
      <c r="I22" s="8"/>
      <c r="J22" s="8">
        <f>8500*0.36*0.75</f>
        <v>2295</v>
      </c>
      <c r="K22" s="8"/>
      <c r="L22" s="8">
        <f>8500*0.36</f>
        <v>3060</v>
      </c>
      <c r="M22" s="4" t="s">
        <v>16</v>
      </c>
    </row>
    <row r="23" spans="1:14" x14ac:dyDescent="0.2">
      <c r="A23" s="4" t="s">
        <v>17</v>
      </c>
      <c r="B23" s="8">
        <v>1000</v>
      </c>
      <c r="C23" s="8"/>
      <c r="D23" s="8">
        <v>1000</v>
      </c>
      <c r="E23" s="8"/>
      <c r="F23" s="8">
        <v>1000</v>
      </c>
      <c r="G23" s="8"/>
      <c r="H23" s="8">
        <v>1000</v>
      </c>
      <c r="I23" s="8"/>
      <c r="J23" s="8">
        <v>1000</v>
      </c>
      <c r="K23" s="8"/>
      <c r="L23" s="8">
        <v>1000</v>
      </c>
      <c r="M23" s="4"/>
    </row>
    <row r="24" spans="1:14" x14ac:dyDescent="0.2">
      <c r="A24" s="4" t="s">
        <v>87</v>
      </c>
      <c r="B24" s="11">
        <f>(23760*0.17)+(10800*0.12)</f>
        <v>5335.2000000000007</v>
      </c>
      <c r="C24" s="8"/>
      <c r="D24" s="11">
        <f>(23760*0.17)+(10800*0.12)</f>
        <v>5335.2000000000007</v>
      </c>
      <c r="E24" s="8"/>
      <c r="F24" s="11">
        <f>(F18+F20+F21)*0.12+(23760*0.17)</f>
        <v>5874.84</v>
      </c>
      <c r="G24" s="8"/>
      <c r="H24" s="11">
        <f>(H18+H20+H21)*0.12+(23760*0.17)</f>
        <v>6486.7192656480001</v>
      </c>
      <c r="I24" s="8"/>
      <c r="J24" s="11">
        <f>(J18+J20+J21)*0.12+(23760*0.17)</f>
        <v>6792.66</v>
      </c>
      <c r="K24" s="8"/>
      <c r="L24" s="11">
        <f>(L18+L20+L21)*0.29</f>
        <v>8872.26</v>
      </c>
      <c r="M24" s="4"/>
    </row>
    <row r="25" spans="1:14" ht="20.25" customHeight="1" x14ac:dyDescent="0.2">
      <c r="A25" s="4" t="s">
        <v>29</v>
      </c>
      <c r="B25" s="8">
        <f>SUM(B18:B24)</f>
        <v>15381.995800000001</v>
      </c>
      <c r="C25" s="8"/>
      <c r="D25" s="8">
        <f>SUM(D18:D24)</f>
        <v>18397.573879472264</v>
      </c>
      <c r="E25" s="8"/>
      <c r="F25" s="8">
        <f>SUM(F18:F24)</f>
        <v>24968.4316</v>
      </c>
      <c r="G25" s="8"/>
      <c r="H25" s="8">
        <f>SUM(H18:H24)</f>
        <v>31611.499399345121</v>
      </c>
      <c r="I25" s="8"/>
      <c r="J25" s="8">
        <f>SUM(J18:J24)</f>
        <v>34933.047399999996</v>
      </c>
      <c r="K25" s="8"/>
      <c r="L25" s="8">
        <f>SUM(L18:L24)</f>
        <v>46059.443200000002</v>
      </c>
      <c r="M25" s="4"/>
    </row>
    <row r="26" spans="1:14" ht="21" customHeight="1" x14ac:dyDescent="0.2">
      <c r="A26" s="13" t="s">
        <v>88</v>
      </c>
      <c r="B26" s="13"/>
      <c r="C26" s="13"/>
      <c r="D26" s="13"/>
      <c r="E26" s="13"/>
      <c r="F26" s="13"/>
      <c r="G26" s="4"/>
      <c r="H26" s="4"/>
      <c r="I26" s="4"/>
      <c r="J26" s="4"/>
      <c r="K26" s="4"/>
      <c r="L26" s="4"/>
      <c r="M26" s="4"/>
    </row>
    <row r="27" spans="1:14" x14ac:dyDescent="0.2">
      <c r="J27" s="19"/>
    </row>
    <row r="28" spans="1:14" x14ac:dyDescent="0.2">
      <c r="D28" s="19"/>
      <c r="J28" s="19"/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2" workbookViewId="0">
      <selection activeCell="A2" sqref="A2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4" width="10.28515625" customWidth="1"/>
  </cols>
  <sheetData>
    <row r="1" spans="1:13" s="2" customFormat="1" ht="6" hidden="1" customHeight="1" x14ac:dyDescent="0.2"/>
    <row r="2" spans="1:13" ht="24" customHeight="1" x14ac:dyDescent="0.25">
      <c r="A2" s="21" t="s">
        <v>0</v>
      </c>
      <c r="B2" s="21"/>
    </row>
    <row r="3" spans="1:13" x14ac:dyDescent="0.2">
      <c r="A3" s="22" t="s">
        <v>89</v>
      </c>
      <c r="B3" s="22" t="s">
        <v>33</v>
      </c>
      <c r="C3" s="22"/>
      <c r="D3" s="22" t="s">
        <v>34</v>
      </c>
      <c r="E3" s="22"/>
      <c r="F3" s="22" t="s">
        <v>35</v>
      </c>
      <c r="G3" s="22"/>
      <c r="H3" s="22" t="s">
        <v>36</v>
      </c>
      <c r="I3" s="22"/>
      <c r="J3" s="22" t="s">
        <v>37</v>
      </c>
      <c r="K3" s="22"/>
      <c r="L3" s="22" t="s">
        <v>7</v>
      </c>
    </row>
    <row r="4" spans="1:13" x14ac:dyDescent="0.2">
      <c r="A4" s="2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9.5" customHeight="1" x14ac:dyDescent="0.2">
      <c r="A5" t="s">
        <v>9</v>
      </c>
      <c r="B5" s="24">
        <f>L5*0.25</f>
        <v>5786.5</v>
      </c>
      <c r="C5" s="24"/>
      <c r="D5" s="24">
        <f>L5*0.333333</f>
        <v>7715.3256179999998</v>
      </c>
      <c r="E5" s="24"/>
      <c r="F5" s="24">
        <f>L5/2</f>
        <v>11573</v>
      </c>
      <c r="G5" s="24"/>
      <c r="H5" s="24">
        <f>L5*0.6666666</f>
        <v>15430.6651236</v>
      </c>
      <c r="I5" s="24"/>
      <c r="J5" s="24">
        <f>L5*0.75</f>
        <v>17359.5</v>
      </c>
      <c r="K5" s="24"/>
      <c r="L5" s="24">
        <v>23146</v>
      </c>
      <c r="M5" s="19"/>
    </row>
    <row r="6" spans="1:13" x14ac:dyDescent="0.2">
      <c r="A6" t="s">
        <v>10</v>
      </c>
      <c r="B6" s="24">
        <f>(B5+B8+B7)*0.0828</f>
        <v>917.96219999999994</v>
      </c>
      <c r="C6" s="24"/>
      <c r="D6" s="24">
        <f>(D5+D8+D7)*0.0828</f>
        <v>1091.4689611703998</v>
      </c>
      <c r="E6" s="24"/>
      <c r="F6" s="24">
        <f>(F5+F8+F7)*0.0828</f>
        <v>1438.4844000000001</v>
      </c>
      <c r="G6" s="24"/>
      <c r="H6" s="24">
        <f>(H5+H8+H7)*0.0828</f>
        <v>1785.4989618340799</v>
      </c>
      <c r="I6" s="24"/>
      <c r="J6" s="24">
        <f>(J5+J8+J7)*0.0828</f>
        <v>1959.0065999999999</v>
      </c>
      <c r="K6" s="24"/>
      <c r="L6" s="24">
        <f>(L5+L8+L7)*0.0828</f>
        <v>2479.5288</v>
      </c>
    </row>
    <row r="7" spans="1:13" x14ac:dyDescent="0.2">
      <c r="A7" t="s">
        <v>11</v>
      </c>
      <c r="B7" s="24">
        <v>500</v>
      </c>
      <c r="C7" s="24"/>
      <c r="D7" s="24">
        <f>L7/3</f>
        <v>666.66666666666663</v>
      </c>
      <c r="E7" s="24"/>
      <c r="F7" s="24">
        <v>1000</v>
      </c>
      <c r="G7" s="24"/>
      <c r="H7" s="24">
        <f>L7*0.666666</f>
        <v>1333.3319999999999</v>
      </c>
      <c r="I7" s="24"/>
      <c r="J7" s="24">
        <f>L7*0.75</f>
        <v>1500</v>
      </c>
      <c r="K7" s="24"/>
      <c r="L7" s="24">
        <v>2000</v>
      </c>
    </row>
    <row r="8" spans="1:13" x14ac:dyDescent="0.2">
      <c r="A8" t="s">
        <v>13</v>
      </c>
      <c r="B8" s="24">
        <v>4800</v>
      </c>
      <c r="C8" s="24"/>
      <c r="D8" s="24">
        <v>4800</v>
      </c>
      <c r="E8" s="24"/>
      <c r="F8" s="24">
        <v>4800</v>
      </c>
      <c r="G8" s="24"/>
      <c r="H8" s="24">
        <v>4800</v>
      </c>
      <c r="I8" s="24"/>
      <c r="J8" s="24">
        <v>4800</v>
      </c>
      <c r="K8" s="24"/>
      <c r="L8" s="24">
        <v>4800</v>
      </c>
    </row>
    <row r="9" spans="1:13" x14ac:dyDescent="0.2">
      <c r="A9" t="s">
        <v>90</v>
      </c>
      <c r="B9" s="24">
        <f>L9*0.25</f>
        <v>775.625</v>
      </c>
      <c r="C9" s="24"/>
      <c r="D9" s="24">
        <f>L9*0.33333</f>
        <v>1034.1563250000002</v>
      </c>
      <c r="E9" s="24"/>
      <c r="F9" s="24">
        <f>L9*0.5</f>
        <v>1551.25</v>
      </c>
      <c r="G9" s="24"/>
      <c r="H9" s="24">
        <f>L9*0.666666</f>
        <v>2068.3312649999998</v>
      </c>
      <c r="I9" s="24"/>
      <c r="J9" s="24">
        <f>L9*0.75</f>
        <v>2326.875</v>
      </c>
      <c r="K9" s="24"/>
      <c r="L9" s="24">
        <f>8500*0.365</f>
        <v>3102.5</v>
      </c>
      <c r="M9" t="s">
        <v>16</v>
      </c>
    </row>
    <row r="10" spans="1:13" x14ac:dyDescent="0.2">
      <c r="A10" t="s">
        <v>17</v>
      </c>
      <c r="B10" s="24">
        <v>1000</v>
      </c>
      <c r="C10" s="24"/>
      <c r="D10" s="24">
        <v>1000</v>
      </c>
      <c r="E10" s="24"/>
      <c r="F10" s="24">
        <v>1000</v>
      </c>
      <c r="G10" s="24"/>
      <c r="H10" s="24">
        <v>1000</v>
      </c>
      <c r="I10" s="24"/>
      <c r="J10" s="24">
        <v>1000</v>
      </c>
      <c r="K10" s="24"/>
      <c r="L10" s="24">
        <v>1000</v>
      </c>
    </row>
    <row r="11" spans="1:13" x14ac:dyDescent="0.2">
      <c r="A11" t="s">
        <v>87</v>
      </c>
      <c r="B11" s="25">
        <f>(10500*0.12)+(23100*0.165)</f>
        <v>5071.5</v>
      </c>
      <c r="C11" s="24"/>
      <c r="D11" s="25">
        <f>((D5+D7)*0.3+D5+D7)*0.12+(23100*0.165)</f>
        <v>5119.0907964079997</v>
      </c>
      <c r="E11" s="24"/>
      <c r="F11" s="25">
        <f>((F5+F7)*0.3+F5+F7)*0.12+(23100*0.165)</f>
        <v>5772.8879999999999</v>
      </c>
      <c r="G11" s="24"/>
      <c r="H11" s="25">
        <f>((H5+H7)*0.3+H5+H7)*0.12+(23100*0.165)</f>
        <v>6426.6835512815996</v>
      </c>
      <c r="I11" s="24"/>
      <c r="J11" s="25">
        <f>((J5+J7)*0.3+J5+J7)*0.285</f>
        <v>6987.4447499999987</v>
      </c>
      <c r="K11" s="24"/>
      <c r="L11" s="25">
        <f>((L5+L7)*0.3+L5+L7)*0.285</f>
        <v>9316.5929999999989</v>
      </c>
    </row>
    <row r="12" spans="1:13" ht="20.25" customHeight="1" x14ac:dyDescent="0.2">
      <c r="A12" t="s">
        <v>20</v>
      </c>
      <c r="B12" s="24">
        <f>SUM(B5:B11)-B8</f>
        <v>14051.587200000002</v>
      </c>
      <c r="C12" s="24"/>
      <c r="D12" s="24">
        <f>SUM(D5:D11)-D8</f>
        <v>16626.708367245068</v>
      </c>
      <c r="E12" s="24"/>
      <c r="F12" s="24">
        <f>SUM(F5:F11)-F8</f>
        <v>22335.6224</v>
      </c>
      <c r="G12" s="24"/>
      <c r="H12" s="24">
        <f>SUM(H5:H11)-H8</f>
        <v>28044.510901715679</v>
      </c>
      <c r="I12" s="24"/>
      <c r="J12" s="24">
        <f>SUM(J5:J11)-J8</f>
        <v>31132.826350000003</v>
      </c>
      <c r="K12" s="24"/>
      <c r="L12" s="24">
        <f>SUM(L5:L11)-L8</f>
        <v>41044.621800000001</v>
      </c>
    </row>
    <row r="13" spans="1:13" ht="19.5" customHeight="1" x14ac:dyDescent="0.2">
      <c r="A13" s="14" t="s">
        <v>21</v>
      </c>
    </row>
    <row r="14" spans="1:13" x14ac:dyDescent="0.2">
      <c r="A14" s="26" t="s">
        <v>91</v>
      </c>
      <c r="B14" s="26"/>
      <c r="C14" s="26"/>
      <c r="D14" s="26"/>
      <c r="E14" s="26"/>
      <c r="F14" s="26"/>
      <c r="G14" s="27"/>
      <c r="H14" s="27"/>
      <c r="I14" s="27"/>
      <c r="J14" s="28"/>
      <c r="K14" s="27"/>
      <c r="L14" s="27"/>
    </row>
    <row r="15" spans="1:13" x14ac:dyDescent="0.2">
      <c r="D15" s="19"/>
    </row>
    <row r="16" spans="1:13" ht="20.25" customHeight="1" x14ac:dyDescent="0.2">
      <c r="A16" s="22" t="s">
        <v>89</v>
      </c>
      <c r="B16" s="22" t="s">
        <v>33</v>
      </c>
      <c r="C16" s="22"/>
      <c r="D16" s="22" t="s">
        <v>34</v>
      </c>
      <c r="E16" s="22"/>
      <c r="F16" s="22" t="s">
        <v>35</v>
      </c>
      <c r="G16" s="22"/>
      <c r="H16" s="22" t="s">
        <v>36</v>
      </c>
      <c r="I16" s="22"/>
      <c r="J16" s="22" t="s">
        <v>37</v>
      </c>
      <c r="K16" s="22"/>
      <c r="L16" s="22" t="s">
        <v>7</v>
      </c>
    </row>
    <row r="17" spans="1:14" x14ac:dyDescent="0.2">
      <c r="A17" s="23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x14ac:dyDescent="0.2">
      <c r="A18" t="s">
        <v>9</v>
      </c>
      <c r="B18" s="24">
        <f>L18*0.25</f>
        <v>5786.5</v>
      </c>
      <c r="C18" s="24"/>
      <c r="D18" s="24">
        <f>L18*0.333333</f>
        <v>7715.3256179999998</v>
      </c>
      <c r="E18" s="24"/>
      <c r="F18" s="24">
        <f>L18/2</f>
        <v>11573</v>
      </c>
      <c r="G18" s="24"/>
      <c r="H18" s="24">
        <f>L18*0.6666666</f>
        <v>15430.6651236</v>
      </c>
      <c r="I18" s="24"/>
      <c r="J18" s="24">
        <f>L18*0.75</f>
        <v>17359.5</v>
      </c>
      <c r="K18" s="24"/>
      <c r="L18" s="24">
        <v>23146</v>
      </c>
      <c r="N18" s="19"/>
    </row>
    <row r="19" spans="1:14" x14ac:dyDescent="0.2">
      <c r="A19" t="s">
        <v>10</v>
      </c>
      <c r="B19" s="24">
        <f>(B18+B21+B20)*0.0828</f>
        <v>619.88220000000001</v>
      </c>
      <c r="C19" s="24"/>
      <c r="D19" s="24">
        <f>(D18+D21+D20)*0.0828</f>
        <v>826.50882869039992</v>
      </c>
      <c r="E19" s="24"/>
      <c r="F19" s="24">
        <f>(F18+F21+F20)*0.0828</f>
        <v>1239.7644</v>
      </c>
      <c r="G19" s="24"/>
      <c r="H19" s="24">
        <f>(H18+H21+H20)*0.0828</f>
        <v>1653.01869687408</v>
      </c>
      <c r="I19" s="24"/>
      <c r="J19" s="24">
        <f>(J18+J21+J20)*0.0828</f>
        <v>1859.6466</v>
      </c>
      <c r="K19" s="24"/>
      <c r="L19" s="24">
        <f>(L18+L21+L20)*0.0828</f>
        <v>2479.5288</v>
      </c>
    </row>
    <row r="20" spans="1:14" x14ac:dyDescent="0.2">
      <c r="A20" t="s">
        <v>11</v>
      </c>
      <c r="B20" s="24">
        <v>500</v>
      </c>
      <c r="C20" s="24"/>
      <c r="D20" s="24">
        <f>L20/3</f>
        <v>666.66666666666663</v>
      </c>
      <c r="E20" s="24"/>
      <c r="F20" s="24">
        <v>1000</v>
      </c>
      <c r="G20" s="24"/>
      <c r="H20" s="24">
        <f>L20*0.666666</f>
        <v>1333.3319999999999</v>
      </c>
      <c r="I20" s="24"/>
      <c r="J20" s="24">
        <f>L20*0.75</f>
        <v>1500</v>
      </c>
      <c r="K20" s="24"/>
      <c r="L20" s="24">
        <v>2000</v>
      </c>
    </row>
    <row r="21" spans="1:14" x14ac:dyDescent="0.2">
      <c r="A21" t="s">
        <v>26</v>
      </c>
      <c r="B21" s="24">
        <f>L21*0.25</f>
        <v>1200</v>
      </c>
      <c r="C21" s="24"/>
      <c r="D21" s="24">
        <f>L21*0.333333</f>
        <v>1599.9983999999999</v>
      </c>
      <c r="E21" s="24"/>
      <c r="F21" s="24">
        <f>L21*0.5</f>
        <v>2400</v>
      </c>
      <c r="G21" s="24"/>
      <c r="H21" s="24">
        <f>L21*0.666666</f>
        <v>3199.9967999999999</v>
      </c>
      <c r="I21" s="24"/>
      <c r="J21" s="24">
        <f>L21*0.75</f>
        <v>3600</v>
      </c>
      <c r="K21" s="24"/>
      <c r="L21" s="24">
        <v>4800</v>
      </c>
    </row>
    <row r="22" spans="1:14" x14ac:dyDescent="0.2">
      <c r="A22" t="s">
        <v>90</v>
      </c>
      <c r="B22" s="24">
        <f>L22*0.25</f>
        <v>775.625</v>
      </c>
      <c r="C22" s="24"/>
      <c r="D22" s="24">
        <f>L22*0.33333</f>
        <v>1034.1563250000002</v>
      </c>
      <c r="E22" s="24"/>
      <c r="F22" s="24">
        <f>L22*0.5</f>
        <v>1551.25</v>
      </c>
      <c r="G22" s="24"/>
      <c r="H22" s="24">
        <f>L22*0.666666</f>
        <v>2068.3312649999998</v>
      </c>
      <c r="I22" s="24"/>
      <c r="J22" s="24">
        <f>8500*0.365*0.75</f>
        <v>2326.875</v>
      </c>
      <c r="K22" s="24"/>
      <c r="L22" s="24">
        <f>8500*0.365</f>
        <v>3102.5</v>
      </c>
      <c r="M22" t="s">
        <v>16</v>
      </c>
    </row>
    <row r="23" spans="1:14" x14ac:dyDescent="0.2">
      <c r="A23" t="s">
        <v>17</v>
      </c>
      <c r="B23" s="24">
        <v>1000</v>
      </c>
      <c r="C23" s="24"/>
      <c r="D23" s="24">
        <v>1000</v>
      </c>
      <c r="E23" s="24"/>
      <c r="F23" s="24">
        <v>1000</v>
      </c>
      <c r="G23" s="24"/>
      <c r="H23" s="24">
        <v>1000</v>
      </c>
      <c r="I23" s="24"/>
      <c r="J23" s="24">
        <v>1000</v>
      </c>
      <c r="K23" s="24"/>
      <c r="L23" s="24">
        <v>1000</v>
      </c>
    </row>
    <row r="24" spans="1:14" x14ac:dyDescent="0.2">
      <c r="A24" t="s">
        <v>87</v>
      </c>
      <c r="B24" s="25">
        <f>(23100*0.165)+(10500*0.12)</f>
        <v>5071.5</v>
      </c>
      <c r="C24" s="24"/>
      <c r="D24" s="25">
        <f>(23100*0.165)+(10500*0.12)</f>
        <v>5071.5</v>
      </c>
      <c r="E24" s="24"/>
      <c r="F24" s="25">
        <f>(F18+F20+F21)*0.12+(23100*0.165)</f>
        <v>5608.26</v>
      </c>
      <c r="G24" s="24"/>
      <c r="H24" s="25">
        <f>(H18+H20+H21)*0.12+(23100*0.165)</f>
        <v>6207.1792708319999</v>
      </c>
      <c r="I24" s="24"/>
      <c r="J24" s="25">
        <f>(J18+J20+J21)*0.12+(23100*0.165)</f>
        <v>6506.6399999999994</v>
      </c>
      <c r="K24" s="24"/>
      <c r="L24" s="25">
        <f>(L18+L20+L21)*0.285</f>
        <v>8534.6099999999988</v>
      </c>
    </row>
    <row r="25" spans="1:14" ht="20.25" customHeight="1" x14ac:dyDescent="0.2">
      <c r="A25" t="s">
        <v>29</v>
      </c>
      <c r="B25" s="24">
        <f>SUM(B18:B24)</f>
        <v>14953.5072</v>
      </c>
      <c r="C25" s="24"/>
      <c r="D25" s="24">
        <f>SUM(D18:D24)</f>
        <v>17914.155838357066</v>
      </c>
      <c r="E25" s="24"/>
      <c r="F25" s="24">
        <f>SUM(F18:F24)</f>
        <v>24372.274400000002</v>
      </c>
      <c r="G25" s="24"/>
      <c r="H25" s="24">
        <f>SUM(H18:H24)</f>
        <v>30892.523156306077</v>
      </c>
      <c r="I25" s="24"/>
      <c r="J25" s="24">
        <f>SUM(J18:J24)</f>
        <v>34152.661599999999</v>
      </c>
      <c r="K25" s="24"/>
      <c r="L25" s="24">
        <f>SUM(L18:L24)</f>
        <v>45062.638800000001</v>
      </c>
    </row>
    <row r="26" spans="1:14" ht="21" customHeight="1" x14ac:dyDescent="0.2">
      <c r="A26" s="26" t="s">
        <v>91</v>
      </c>
      <c r="B26" s="26"/>
      <c r="C26" s="26"/>
      <c r="D26" s="26"/>
      <c r="E26" s="26"/>
      <c r="F26" s="26"/>
    </row>
    <row r="27" spans="1:14" x14ac:dyDescent="0.2">
      <c r="J27" s="19"/>
    </row>
    <row r="28" spans="1:14" x14ac:dyDescent="0.2">
      <c r="D28" s="19"/>
      <c r="J28" s="19"/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2" workbookViewId="0">
      <selection activeCell="A4" sqref="A4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4" width="10.28515625" customWidth="1"/>
  </cols>
  <sheetData>
    <row r="1" spans="1:13" s="2" customFormat="1" ht="6" hidden="1" customHeight="1" x14ac:dyDescent="0.2"/>
    <row r="2" spans="1:13" ht="24" customHeight="1" x14ac:dyDescent="0.25">
      <c r="A2" s="21" t="s">
        <v>0</v>
      </c>
      <c r="B2" s="21"/>
    </row>
    <row r="3" spans="1:13" x14ac:dyDescent="0.2">
      <c r="A3" s="22" t="s">
        <v>92</v>
      </c>
      <c r="B3" s="22" t="s">
        <v>33</v>
      </c>
      <c r="C3" s="22"/>
      <c r="D3" s="22" t="s">
        <v>34</v>
      </c>
      <c r="E3" s="22"/>
      <c r="F3" s="22" t="s">
        <v>35</v>
      </c>
      <c r="G3" s="22"/>
      <c r="H3" s="22" t="s">
        <v>36</v>
      </c>
      <c r="I3" s="22"/>
      <c r="J3" s="22" t="s">
        <v>37</v>
      </c>
      <c r="K3" s="22"/>
      <c r="L3" s="22" t="s">
        <v>7</v>
      </c>
    </row>
    <row r="4" spans="1:13" x14ac:dyDescent="0.2">
      <c r="A4" s="2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9.5" customHeight="1" x14ac:dyDescent="0.2">
      <c r="A5" t="s">
        <v>9</v>
      </c>
      <c r="B5" s="24">
        <f>L5*0.25</f>
        <v>5585.4424999999992</v>
      </c>
      <c r="C5" s="24"/>
      <c r="D5" s="24">
        <f>L5*0.333333</f>
        <v>7447.2492194099987</v>
      </c>
      <c r="E5" s="24"/>
      <c r="F5" s="24">
        <f>L5/2</f>
        <v>11170.884999999998</v>
      </c>
      <c r="G5" s="24"/>
      <c r="H5" s="24">
        <f>L5*0.6666666</f>
        <v>14894.511843881997</v>
      </c>
      <c r="I5" s="24"/>
      <c r="J5" s="24">
        <f>L5*0.75</f>
        <v>16756.327499999999</v>
      </c>
      <c r="K5" s="24"/>
      <c r="L5" s="24">
        <f>21670*1.031</f>
        <v>22341.769999999997</v>
      </c>
      <c r="M5" s="19"/>
    </row>
    <row r="6" spans="1:13" x14ac:dyDescent="0.2">
      <c r="A6" t="s">
        <v>10</v>
      </c>
      <c r="B6" s="24">
        <f>(B5+B8+B7)*0.0828</f>
        <v>901.31463899999994</v>
      </c>
      <c r="C6" s="24"/>
      <c r="D6" s="24">
        <f>(D5+D8+D7)*0.0828</f>
        <v>1069.2722353671477</v>
      </c>
      <c r="E6" s="24"/>
      <c r="F6" s="24">
        <f>(F5+F8+F7)*0.0828</f>
        <v>1405.1892779999998</v>
      </c>
      <c r="G6" s="24"/>
      <c r="H6" s="24">
        <f>(H5+H8+H7)*0.0828</f>
        <v>1741.1054702734293</v>
      </c>
      <c r="I6" s="24"/>
      <c r="J6" s="24">
        <f>(J5+J8+J7)*0.0828</f>
        <v>1909.0639169999999</v>
      </c>
      <c r="K6" s="24"/>
      <c r="L6" s="24">
        <f>(L5+L8+L7)*0.0828</f>
        <v>2412.9385559999996</v>
      </c>
    </row>
    <row r="7" spans="1:13" x14ac:dyDescent="0.2">
      <c r="A7" t="s">
        <v>11</v>
      </c>
      <c r="B7" s="24">
        <v>500</v>
      </c>
      <c r="C7" s="24"/>
      <c r="D7" s="24">
        <f>L7/3</f>
        <v>666.66666666666663</v>
      </c>
      <c r="E7" s="24"/>
      <c r="F7" s="24">
        <v>1000</v>
      </c>
      <c r="G7" s="24"/>
      <c r="H7" s="24">
        <f>L7*0.666666</f>
        <v>1333.3319999999999</v>
      </c>
      <c r="I7" s="24"/>
      <c r="J7" s="24">
        <f>L7*0.75</f>
        <v>1500</v>
      </c>
      <c r="K7" s="24"/>
      <c r="L7" s="24">
        <v>2000</v>
      </c>
    </row>
    <row r="8" spans="1:13" x14ac:dyDescent="0.2">
      <c r="A8" t="s">
        <v>13</v>
      </c>
      <c r="B8" s="24">
        <v>4800</v>
      </c>
      <c r="C8" s="24"/>
      <c r="D8" s="24">
        <v>4800</v>
      </c>
      <c r="E8" s="24"/>
      <c r="F8" s="24">
        <v>4800</v>
      </c>
      <c r="G8" s="24"/>
      <c r="H8" s="24">
        <v>4800</v>
      </c>
      <c r="I8" s="24"/>
      <c r="J8" s="24">
        <v>4800</v>
      </c>
      <c r="K8" s="24"/>
      <c r="L8" s="24">
        <v>4800</v>
      </c>
    </row>
    <row r="9" spans="1:13" x14ac:dyDescent="0.2">
      <c r="A9" t="s">
        <v>93</v>
      </c>
      <c r="B9" s="24">
        <f>L9*0.25</f>
        <v>733.125</v>
      </c>
      <c r="C9" s="24"/>
      <c r="D9" s="24">
        <f>L9*0.33333</f>
        <v>977.49022500000001</v>
      </c>
      <c r="E9" s="24"/>
      <c r="F9" s="24">
        <f>L9*0.5</f>
        <v>1466.25</v>
      </c>
      <c r="G9" s="24"/>
      <c r="H9" s="24">
        <f>L9*0.666666</f>
        <v>1954.998045</v>
      </c>
      <c r="I9" s="24"/>
      <c r="J9" s="24">
        <f>L9*0.75</f>
        <v>2199.375</v>
      </c>
      <c r="K9" s="24"/>
      <c r="L9" s="24">
        <f>8500*0.345</f>
        <v>2932.5</v>
      </c>
      <c r="M9" t="s">
        <v>16</v>
      </c>
    </row>
    <row r="10" spans="1:13" x14ac:dyDescent="0.2">
      <c r="A10" t="s">
        <v>17</v>
      </c>
      <c r="B10" s="24">
        <v>700</v>
      </c>
      <c r="C10" s="24"/>
      <c r="D10" s="24">
        <v>700</v>
      </c>
      <c r="E10" s="24"/>
      <c r="F10" s="24">
        <v>700</v>
      </c>
      <c r="G10" s="24"/>
      <c r="H10" s="24">
        <v>700</v>
      </c>
      <c r="I10" s="24"/>
      <c r="J10" s="24">
        <v>700</v>
      </c>
      <c r="K10" s="24"/>
      <c r="L10" s="24">
        <v>700</v>
      </c>
    </row>
    <row r="11" spans="1:13" x14ac:dyDescent="0.2">
      <c r="A11" t="s">
        <v>87</v>
      </c>
      <c r="B11" s="25">
        <f>((B5+B7)*0.3+B5+B7)*0.12+(22151*0.155)</f>
        <v>4382.7340299999996</v>
      </c>
      <c r="C11" s="24"/>
      <c r="D11" s="25">
        <f>((D5+D7)*0.3+D5+D7)*0.12+(22151*0.155)</f>
        <v>4699.1758782279603</v>
      </c>
      <c r="E11" s="24"/>
      <c r="F11" s="25">
        <f>((F5+F7)*0.3+F5+F7)*0.12+(22151*0.155)</f>
        <v>5332.0630600000004</v>
      </c>
      <c r="G11" s="24"/>
      <c r="H11" s="25">
        <f>((H5+H7)*0.3+H5+H7)*0.12+(22151*0.155)</f>
        <v>5964.9486396455914</v>
      </c>
      <c r="I11" s="24"/>
      <c r="J11" s="25">
        <f>((J5+J7)*0.3+J5+J7)*0.275</f>
        <v>6526.6370812499999</v>
      </c>
      <c r="K11" s="24"/>
      <c r="L11" s="25">
        <f>((L5+L7)*0.3+L5+L7)*0.275</f>
        <v>8702.1827749999993</v>
      </c>
    </row>
    <row r="12" spans="1:13" ht="20.25" customHeight="1" x14ac:dyDescent="0.2">
      <c r="A12" t="s">
        <v>20</v>
      </c>
      <c r="B12" s="24">
        <f>SUM(B5:B11)-B8</f>
        <v>12802.616169000001</v>
      </c>
      <c r="C12" s="24"/>
      <c r="D12" s="24">
        <f>SUM(D5:D11)-D8</f>
        <v>15559.854224671773</v>
      </c>
      <c r="E12" s="24"/>
      <c r="F12" s="24">
        <f>SUM(F5:F11)-F8</f>
        <v>21074.387338</v>
      </c>
      <c r="G12" s="24"/>
      <c r="H12" s="24">
        <f>SUM(H5:H11)-H8</f>
        <v>26588.895998801017</v>
      </c>
      <c r="I12" s="24"/>
      <c r="J12" s="24">
        <f>SUM(J5:J11)-J8</f>
        <v>29591.403498250002</v>
      </c>
      <c r="K12" s="24"/>
      <c r="L12" s="24">
        <f>SUM(L5:L11)-L8</f>
        <v>39089.391330999999</v>
      </c>
    </row>
    <row r="13" spans="1:13" ht="19.5" customHeight="1" x14ac:dyDescent="0.2">
      <c r="A13" s="14" t="s">
        <v>21</v>
      </c>
    </row>
    <row r="14" spans="1:13" x14ac:dyDescent="0.2">
      <c r="A14" s="26" t="s">
        <v>94</v>
      </c>
      <c r="B14" s="26"/>
      <c r="C14" s="26"/>
      <c r="D14" s="26"/>
      <c r="E14" s="26"/>
      <c r="F14" s="26"/>
      <c r="G14" s="27"/>
      <c r="H14" s="27"/>
      <c r="I14" s="27"/>
      <c r="J14" s="28"/>
      <c r="K14" s="27"/>
      <c r="L14" s="27"/>
    </row>
    <row r="15" spans="1:13" x14ac:dyDescent="0.2">
      <c r="D15" s="19"/>
    </row>
    <row r="16" spans="1:13" ht="20.25" customHeight="1" x14ac:dyDescent="0.2">
      <c r="A16" s="22" t="s">
        <v>92</v>
      </c>
      <c r="B16" s="22" t="s">
        <v>33</v>
      </c>
      <c r="C16" s="22"/>
      <c r="D16" s="22" t="s">
        <v>34</v>
      </c>
      <c r="E16" s="22"/>
      <c r="F16" s="22" t="s">
        <v>35</v>
      </c>
      <c r="G16" s="22"/>
      <c r="H16" s="22" t="s">
        <v>36</v>
      </c>
      <c r="I16" s="22"/>
      <c r="J16" s="22" t="s">
        <v>37</v>
      </c>
      <c r="K16" s="22"/>
      <c r="L16" s="22" t="s">
        <v>7</v>
      </c>
    </row>
    <row r="17" spans="1:14" x14ac:dyDescent="0.2">
      <c r="A17" s="23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x14ac:dyDescent="0.2">
      <c r="A18" t="s">
        <v>9</v>
      </c>
      <c r="B18" s="24">
        <f>L18*0.25</f>
        <v>5585.4424999999992</v>
      </c>
      <c r="C18" s="24"/>
      <c r="D18" s="24">
        <f>L18*0.333333</f>
        <v>7447.2492194099987</v>
      </c>
      <c r="E18" s="24"/>
      <c r="F18" s="24">
        <f>L18/2</f>
        <v>11170.884999999998</v>
      </c>
      <c r="G18" s="24"/>
      <c r="H18" s="24">
        <f>L18*0.6666666</f>
        <v>14894.511843881997</v>
      </c>
      <c r="I18" s="24"/>
      <c r="J18" s="24">
        <f>L18*0.75</f>
        <v>16756.327499999999</v>
      </c>
      <c r="K18" s="24"/>
      <c r="L18" s="24">
        <f>21670*1.031</f>
        <v>22341.769999999997</v>
      </c>
      <c r="N18" s="19"/>
    </row>
    <row r="19" spans="1:14" x14ac:dyDescent="0.2">
      <c r="A19" t="s">
        <v>10</v>
      </c>
      <c r="B19" s="24">
        <f>(B18+B21+B20)*0.0828</f>
        <v>603.2346389999999</v>
      </c>
      <c r="C19" s="24"/>
      <c r="D19" s="24">
        <f>(D18+D21+D20)*0.0828</f>
        <v>804.31210288714783</v>
      </c>
      <c r="E19" s="24"/>
      <c r="F19" s="24">
        <f>(F18+F21+F20)*0.0828</f>
        <v>1206.4692779999998</v>
      </c>
      <c r="G19" s="24"/>
      <c r="H19" s="24">
        <f>(H18+H21+H20)*0.0828</f>
        <v>1608.6252053134292</v>
      </c>
      <c r="I19" s="24"/>
      <c r="J19" s="24">
        <f>(J18+J21+J20)*0.0828</f>
        <v>1809.7039169999998</v>
      </c>
      <c r="K19" s="24"/>
      <c r="L19" s="24">
        <f>(L18+L21+L20)*0.0828</f>
        <v>2412.9385559999996</v>
      </c>
    </row>
    <row r="20" spans="1:14" x14ac:dyDescent="0.2">
      <c r="A20" t="s">
        <v>11</v>
      </c>
      <c r="B20" s="24">
        <v>500</v>
      </c>
      <c r="C20" s="24"/>
      <c r="D20" s="24">
        <f>L20/3</f>
        <v>666.66666666666663</v>
      </c>
      <c r="E20" s="24"/>
      <c r="F20" s="24">
        <v>1000</v>
      </c>
      <c r="G20" s="24"/>
      <c r="H20" s="24">
        <f>L20*0.666666</f>
        <v>1333.3319999999999</v>
      </c>
      <c r="I20" s="24"/>
      <c r="J20" s="24">
        <f>L20*0.75</f>
        <v>1500</v>
      </c>
      <c r="K20" s="24"/>
      <c r="L20" s="24">
        <v>2000</v>
      </c>
    </row>
    <row r="21" spans="1:14" x14ac:dyDescent="0.2">
      <c r="A21" t="s">
        <v>26</v>
      </c>
      <c r="B21" s="24">
        <f>L21*0.25</f>
        <v>1200</v>
      </c>
      <c r="C21" s="24"/>
      <c r="D21" s="24">
        <f>L21*0.333333</f>
        <v>1599.9983999999999</v>
      </c>
      <c r="E21" s="24"/>
      <c r="F21" s="24">
        <f>L21*0.5</f>
        <v>2400</v>
      </c>
      <c r="G21" s="24"/>
      <c r="H21" s="24">
        <f>L21*0.666666</f>
        <v>3199.9967999999999</v>
      </c>
      <c r="I21" s="24"/>
      <c r="J21" s="24">
        <f>L21*0.75</f>
        <v>3600</v>
      </c>
      <c r="K21" s="24"/>
      <c r="L21" s="24">
        <v>4800</v>
      </c>
    </row>
    <row r="22" spans="1:14" x14ac:dyDescent="0.2">
      <c r="A22" t="s">
        <v>93</v>
      </c>
      <c r="B22" s="24">
        <f>L22*0.25</f>
        <v>733.125</v>
      </c>
      <c r="C22" s="24"/>
      <c r="D22" s="24">
        <f>L22*0.33333</f>
        <v>977.49022500000001</v>
      </c>
      <c r="E22" s="24"/>
      <c r="F22" s="24">
        <f>L22*0.5</f>
        <v>1466.25</v>
      </c>
      <c r="G22" s="24"/>
      <c r="H22" s="24">
        <f>L22*0.666666</f>
        <v>1954.998045</v>
      </c>
      <c r="I22" s="24"/>
      <c r="J22" s="24">
        <f>8500*0.345*0.75</f>
        <v>2199.375</v>
      </c>
      <c r="K22" s="24"/>
      <c r="L22" s="24">
        <f>8500*0.345</f>
        <v>2932.5</v>
      </c>
      <c r="M22" t="s">
        <v>16</v>
      </c>
    </row>
    <row r="23" spans="1:14" x14ac:dyDescent="0.2">
      <c r="A23" t="s">
        <v>17</v>
      </c>
      <c r="B23" s="24">
        <v>700</v>
      </c>
      <c r="C23" s="24"/>
      <c r="D23" s="24">
        <v>700</v>
      </c>
      <c r="E23" s="24"/>
      <c r="F23" s="24">
        <v>700</v>
      </c>
      <c r="G23" s="24"/>
      <c r="H23" s="24">
        <v>700</v>
      </c>
      <c r="I23" s="24"/>
      <c r="J23" s="24">
        <v>700</v>
      </c>
      <c r="K23" s="24"/>
      <c r="L23" s="24">
        <v>700</v>
      </c>
    </row>
    <row r="24" spans="1:14" x14ac:dyDescent="0.2">
      <c r="A24" t="s">
        <v>87</v>
      </c>
      <c r="B24" s="25">
        <f>(22151*0.155)+(10069*0.12)</f>
        <v>4641.6850000000004</v>
      </c>
      <c r="C24" s="24"/>
      <c r="D24" s="25">
        <f>(22151*0.155)+(10069*0.12)</f>
        <v>4641.6850000000004</v>
      </c>
      <c r="E24" s="24"/>
      <c r="F24" s="25">
        <f>(F18+F20+F21)*0.12+(22151*0.155)</f>
        <v>5181.9112000000005</v>
      </c>
      <c r="G24" s="24"/>
      <c r="H24" s="25">
        <f>(H18+H20+H21)*0.12+(22151*0.155)</f>
        <v>5764.7458772658401</v>
      </c>
      <c r="I24" s="24"/>
      <c r="J24" s="25">
        <f>(J18+J20+J21)*0.12+(22151*0.155)</f>
        <v>6056.1643000000004</v>
      </c>
      <c r="K24" s="24"/>
      <c r="L24" s="25">
        <f>(L18+L20+L21)*0.275</f>
        <v>8013.98675</v>
      </c>
    </row>
    <row r="25" spans="1:14" ht="20.25" customHeight="1" x14ac:dyDescent="0.2">
      <c r="A25" t="s">
        <v>29</v>
      </c>
      <c r="B25" s="24">
        <f>SUM(B18:B24)</f>
        <v>13963.487139000001</v>
      </c>
      <c r="C25" s="24"/>
      <c r="D25" s="24">
        <f>SUM(D18:D24)</f>
        <v>16837.401613963812</v>
      </c>
      <c r="E25" s="24"/>
      <c r="F25" s="24">
        <f>SUM(F18:F24)</f>
        <v>23125.515478000001</v>
      </c>
      <c r="G25" s="24"/>
      <c r="H25" s="24">
        <f>SUM(H18:H24)</f>
        <v>29456.209771461265</v>
      </c>
      <c r="I25" s="24"/>
      <c r="J25" s="24">
        <f>SUM(J18:J24)</f>
        <v>32621.570716999999</v>
      </c>
      <c r="K25" s="24"/>
      <c r="L25" s="24">
        <f>SUM(L18:L24)</f>
        <v>43201.195305999994</v>
      </c>
    </row>
    <row r="26" spans="1:14" ht="21" customHeight="1" x14ac:dyDescent="0.2">
      <c r="A26" s="26" t="s">
        <v>94</v>
      </c>
      <c r="B26" s="26"/>
      <c r="C26" s="26"/>
      <c r="D26" s="26"/>
      <c r="E26" s="26"/>
      <c r="F26" s="26"/>
    </row>
    <row r="27" spans="1:14" x14ac:dyDescent="0.2">
      <c r="J27" s="19"/>
    </row>
    <row r="28" spans="1:14" x14ac:dyDescent="0.2">
      <c r="D28" s="19"/>
      <c r="J28" s="19"/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2" workbookViewId="0">
      <selection activeCell="A5" sqref="A5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</cols>
  <sheetData>
    <row r="1" spans="1:13" s="2" customFormat="1" ht="6" hidden="1" customHeight="1" x14ac:dyDescent="0.2"/>
    <row r="2" spans="1:13" ht="24" customHeight="1" x14ac:dyDescent="0.25">
      <c r="A2" s="21" t="s">
        <v>0</v>
      </c>
      <c r="B2" s="21"/>
    </row>
    <row r="3" spans="1:13" x14ac:dyDescent="0.2">
      <c r="A3" s="22">
        <v>1999</v>
      </c>
      <c r="B3" s="22" t="s">
        <v>33</v>
      </c>
      <c r="C3" s="22"/>
      <c r="D3" s="22" t="s">
        <v>34</v>
      </c>
      <c r="E3" s="22"/>
      <c r="F3" s="22" t="s">
        <v>35</v>
      </c>
      <c r="G3" s="22"/>
      <c r="H3" s="22" t="s">
        <v>36</v>
      </c>
      <c r="I3" s="22"/>
      <c r="J3" s="22" t="s">
        <v>37</v>
      </c>
      <c r="K3" s="22"/>
      <c r="L3" s="22" t="s">
        <v>7</v>
      </c>
    </row>
    <row r="4" spans="1:13" x14ac:dyDescent="0.2">
      <c r="A4" s="2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9.5" customHeight="1" x14ac:dyDescent="0.2">
      <c r="A5" t="s">
        <v>9</v>
      </c>
      <c r="B5" s="29">
        <f>L5*0.25</f>
        <v>5260</v>
      </c>
      <c r="C5" s="29"/>
      <c r="D5" s="29">
        <f>L5*0.333333</f>
        <v>7013.3263200000001</v>
      </c>
      <c r="E5" s="29"/>
      <c r="F5" s="29">
        <f>L5/2</f>
        <v>10520</v>
      </c>
      <c r="G5" s="29"/>
      <c r="H5" s="29">
        <f>L5*0.6666666</f>
        <v>14026.665263999999</v>
      </c>
      <c r="I5" s="29"/>
      <c r="J5" s="29">
        <f>L5*0.75</f>
        <v>15780</v>
      </c>
      <c r="K5" s="29"/>
      <c r="L5" s="29">
        <v>21040</v>
      </c>
    </row>
    <row r="6" spans="1:13" x14ac:dyDescent="0.2">
      <c r="A6" t="s">
        <v>10</v>
      </c>
      <c r="B6" s="29">
        <f>(B5+B8+B7)*0.0765</f>
        <v>807.84</v>
      </c>
      <c r="C6" s="29"/>
      <c r="D6" s="29">
        <f>(D5+D8+D7)*0.0765</f>
        <v>954.71946347999994</v>
      </c>
      <c r="E6" s="29"/>
      <c r="F6" s="29">
        <f>(F5+F8+F7)*0.0765</f>
        <v>1248.48</v>
      </c>
      <c r="G6" s="29"/>
      <c r="H6" s="29">
        <f>(H5+H8+H7)*0.0765</f>
        <v>1542.2397906959998</v>
      </c>
      <c r="I6" s="29"/>
      <c r="J6" s="29">
        <f>(J5+J8+J7)*0.0765</f>
        <v>1689.12</v>
      </c>
      <c r="K6" s="29"/>
      <c r="L6" s="29">
        <f>(L5+L8+L7)*0.0765</f>
        <v>2129.7599999999998</v>
      </c>
    </row>
    <row r="7" spans="1:13" x14ac:dyDescent="0.2">
      <c r="A7" t="s">
        <v>11</v>
      </c>
      <c r="B7" s="29">
        <v>500</v>
      </c>
      <c r="C7" s="29"/>
      <c r="D7" s="29">
        <f>L7/3</f>
        <v>666.66666666666663</v>
      </c>
      <c r="E7" s="29"/>
      <c r="F7" s="29">
        <v>1000</v>
      </c>
      <c r="G7" s="29"/>
      <c r="H7" s="29">
        <f>L7*0.666666</f>
        <v>1333.3319999999999</v>
      </c>
      <c r="I7" s="29"/>
      <c r="J7" s="29">
        <f>L7*0.75</f>
        <v>1500</v>
      </c>
      <c r="K7" s="29"/>
      <c r="L7" s="29">
        <v>2000</v>
      </c>
    </row>
    <row r="8" spans="1:13" x14ac:dyDescent="0.2">
      <c r="A8" t="s">
        <v>13</v>
      </c>
      <c r="B8" s="29">
        <v>4800</v>
      </c>
      <c r="C8" s="29"/>
      <c r="D8" s="29">
        <v>4800</v>
      </c>
      <c r="E8" s="29"/>
      <c r="F8" s="29">
        <v>4800</v>
      </c>
      <c r="G8" s="29"/>
      <c r="H8" s="29">
        <v>4800</v>
      </c>
      <c r="I8" s="29"/>
      <c r="J8" s="29">
        <v>4800</v>
      </c>
      <c r="K8" s="29"/>
      <c r="L8" s="29">
        <v>4800</v>
      </c>
    </row>
    <row r="9" spans="1:13" x14ac:dyDescent="0.2">
      <c r="A9" t="s">
        <v>95</v>
      </c>
      <c r="B9" s="29">
        <f>L9*0.25</f>
        <v>658.75</v>
      </c>
      <c r="C9" s="29"/>
      <c r="D9" s="29">
        <f>L9*0.33333</f>
        <v>878.32455000000004</v>
      </c>
      <c r="E9" s="29"/>
      <c r="F9" s="29">
        <f>L9*0.5</f>
        <v>1317.5</v>
      </c>
      <c r="G9" s="29"/>
      <c r="H9" s="29">
        <f>L9*0.666666</f>
        <v>1756.66491</v>
      </c>
      <c r="I9" s="29"/>
      <c r="J9" s="29">
        <f>L9*0.75</f>
        <v>1976.25</v>
      </c>
      <c r="K9" s="29"/>
      <c r="L9" s="29">
        <f>8500*0.31</f>
        <v>2635</v>
      </c>
      <c r="M9" t="s">
        <v>16</v>
      </c>
    </row>
    <row r="10" spans="1:13" x14ac:dyDescent="0.2">
      <c r="A10" t="s">
        <v>17</v>
      </c>
      <c r="B10" s="29">
        <v>700</v>
      </c>
      <c r="C10" s="29"/>
      <c r="D10" s="29">
        <v>700</v>
      </c>
      <c r="E10" s="29"/>
      <c r="F10" s="29">
        <v>700</v>
      </c>
      <c r="G10" s="29"/>
      <c r="H10" s="29">
        <v>700</v>
      </c>
      <c r="I10" s="29"/>
      <c r="J10" s="29">
        <v>700</v>
      </c>
      <c r="K10" s="29"/>
      <c r="L10" s="29">
        <v>700</v>
      </c>
    </row>
    <row r="11" spans="1:13" x14ac:dyDescent="0.2">
      <c r="A11" t="s">
        <v>87</v>
      </c>
      <c r="B11" s="30">
        <f>(9375*0.12)+(20625*0.155)</f>
        <v>4321.875</v>
      </c>
      <c r="C11" s="29"/>
      <c r="D11" s="30">
        <f>((D5+D7)*0.3+D5+D7)*0.12+(20625*0.155)</f>
        <v>4394.9539059199997</v>
      </c>
      <c r="E11" s="29"/>
      <c r="F11" s="30">
        <f>((F5+F7)*0.3+F5+F7)*0.12+(20625*0.155)</f>
        <v>4993.9949999999999</v>
      </c>
      <c r="G11" s="29"/>
      <c r="H11" s="30">
        <f>((H5+H7)*0.3+H5+H7)*0.12+(20625*0.155)</f>
        <v>5593.0345731839998</v>
      </c>
      <c r="I11" s="29"/>
      <c r="J11" s="30">
        <f>((J5+J7)*0.3+J5+J7)*0.275</f>
        <v>6177.6</v>
      </c>
      <c r="K11" s="29"/>
      <c r="L11" s="30">
        <f>((L5+L7)*0.3+L5+L7)*0.275</f>
        <v>8236.8000000000011</v>
      </c>
    </row>
    <row r="12" spans="1:13" ht="20.25" customHeight="1" x14ac:dyDescent="0.2">
      <c r="A12" t="s">
        <v>20</v>
      </c>
      <c r="B12" s="29">
        <f>SUM(B5:B11)-B8</f>
        <v>12248.465</v>
      </c>
      <c r="C12" s="29"/>
      <c r="D12" s="29">
        <f>SUM(D5:D11)-D8</f>
        <v>14607.990906066665</v>
      </c>
      <c r="E12" s="29"/>
      <c r="F12" s="29">
        <f>SUM(F5:F11)-F8</f>
        <v>19779.974999999999</v>
      </c>
      <c r="G12" s="29"/>
      <c r="H12" s="29">
        <f>SUM(H5:H11)-H8</f>
        <v>24951.936537879996</v>
      </c>
      <c r="I12" s="29"/>
      <c r="J12" s="29">
        <f>SUM(J5:J11)-J8</f>
        <v>27822.97</v>
      </c>
      <c r="K12" s="29"/>
      <c r="L12" s="29">
        <f>SUM(L5:L11)-L8</f>
        <v>36741.56</v>
      </c>
    </row>
    <row r="13" spans="1:13" ht="19.5" customHeight="1" x14ac:dyDescent="0.2">
      <c r="A13" s="14" t="s">
        <v>21</v>
      </c>
    </row>
    <row r="14" spans="1:13" x14ac:dyDescent="0.2">
      <c r="A14" s="26" t="s">
        <v>96</v>
      </c>
      <c r="B14" s="26"/>
      <c r="C14" s="26"/>
      <c r="D14" s="26"/>
      <c r="E14" s="26"/>
      <c r="F14" s="26"/>
      <c r="G14" s="27"/>
      <c r="H14" s="27"/>
      <c r="I14" s="27"/>
      <c r="J14" s="28"/>
      <c r="K14" s="27"/>
      <c r="L14" s="27"/>
    </row>
    <row r="16" spans="1:13" ht="20.25" customHeight="1" x14ac:dyDescent="0.2">
      <c r="A16" s="22" t="s">
        <v>97</v>
      </c>
      <c r="B16" s="22" t="s">
        <v>33</v>
      </c>
      <c r="C16" s="22"/>
      <c r="D16" s="22" t="s">
        <v>34</v>
      </c>
      <c r="E16" s="22"/>
      <c r="F16" s="22" t="s">
        <v>35</v>
      </c>
      <c r="G16" s="22"/>
      <c r="H16" s="22" t="s">
        <v>36</v>
      </c>
      <c r="I16" s="22"/>
      <c r="J16" s="22" t="s">
        <v>37</v>
      </c>
      <c r="K16" s="22"/>
      <c r="L16" s="22" t="s">
        <v>7</v>
      </c>
    </row>
    <row r="17" spans="1:13" x14ac:dyDescent="0.2">
      <c r="A17" s="23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x14ac:dyDescent="0.2">
      <c r="A18" t="s">
        <v>9</v>
      </c>
      <c r="B18" s="29">
        <f>L18*0.25</f>
        <v>5260</v>
      </c>
      <c r="C18" s="29"/>
      <c r="D18" s="29">
        <f>L18*0.333333</f>
        <v>7013.3263200000001</v>
      </c>
      <c r="E18" s="29"/>
      <c r="F18" s="29">
        <f>L18/2</f>
        <v>10520</v>
      </c>
      <c r="G18" s="29"/>
      <c r="H18" s="29">
        <f>L18*0.6666666</f>
        <v>14026.665263999999</v>
      </c>
      <c r="I18" s="29"/>
      <c r="J18" s="29">
        <f>L18*0.75</f>
        <v>15780</v>
      </c>
      <c r="K18" s="29"/>
      <c r="L18" s="29">
        <v>21040</v>
      </c>
    </row>
    <row r="19" spans="1:13" x14ac:dyDescent="0.2">
      <c r="A19" t="s">
        <v>10</v>
      </c>
      <c r="B19" s="29">
        <f>(B18+B21+B20)*0.0765</f>
        <v>532.43999999999994</v>
      </c>
      <c r="C19" s="29"/>
      <c r="D19" s="29">
        <f>(D18+D21+D20)*0.0765</f>
        <v>709.91934107999998</v>
      </c>
      <c r="E19" s="29"/>
      <c r="F19" s="29">
        <f>(F18+F21+F20)*0.0765</f>
        <v>1064.8799999999999</v>
      </c>
      <c r="G19" s="29"/>
      <c r="H19" s="29">
        <f>(H18+H21+H20)*0.0765</f>
        <v>1419.8395458959999</v>
      </c>
      <c r="I19" s="29"/>
      <c r="J19" s="29">
        <f>(J18+J21+J20)*0.0765</f>
        <v>1597.32</v>
      </c>
      <c r="K19" s="29"/>
      <c r="L19" s="29">
        <f>(L18+L21+L20)*0.0765</f>
        <v>2129.7599999999998</v>
      </c>
    </row>
    <row r="20" spans="1:13" x14ac:dyDescent="0.2">
      <c r="A20" t="s">
        <v>11</v>
      </c>
      <c r="B20" s="29">
        <v>500</v>
      </c>
      <c r="C20" s="29"/>
      <c r="D20" s="29">
        <f>L20/3</f>
        <v>666.66666666666663</v>
      </c>
      <c r="E20" s="29"/>
      <c r="F20" s="29">
        <v>1000</v>
      </c>
      <c r="G20" s="29"/>
      <c r="H20" s="29">
        <f>L20*0.666666</f>
        <v>1333.3319999999999</v>
      </c>
      <c r="I20" s="29"/>
      <c r="J20" s="29">
        <f>L20*0.75</f>
        <v>1500</v>
      </c>
      <c r="K20" s="29"/>
      <c r="L20" s="29">
        <v>2000</v>
      </c>
    </row>
    <row r="21" spans="1:13" x14ac:dyDescent="0.2">
      <c r="A21" t="s">
        <v>26</v>
      </c>
      <c r="B21" s="29">
        <f>L21*0.25</f>
        <v>1200</v>
      </c>
      <c r="C21" s="29"/>
      <c r="D21" s="29">
        <f>L21*0.333333</f>
        <v>1599.9983999999999</v>
      </c>
      <c r="E21" s="29"/>
      <c r="F21" s="29">
        <f>L21*0.5</f>
        <v>2400</v>
      </c>
      <c r="G21" s="29"/>
      <c r="H21" s="29">
        <f>L21*0.666666</f>
        <v>3199.9967999999999</v>
      </c>
      <c r="I21" s="29"/>
      <c r="J21" s="29">
        <f>L21*0.75</f>
        <v>3600</v>
      </c>
      <c r="K21" s="29"/>
      <c r="L21" s="29">
        <v>4800</v>
      </c>
    </row>
    <row r="22" spans="1:13" x14ac:dyDescent="0.2">
      <c r="A22" t="s">
        <v>95</v>
      </c>
      <c r="B22" s="29">
        <f>L22*0.25</f>
        <v>658.75</v>
      </c>
      <c r="C22" s="29"/>
      <c r="D22" s="29">
        <f>L22*0.33333</f>
        <v>878.32455000000004</v>
      </c>
      <c r="E22" s="29"/>
      <c r="F22" s="29">
        <f>L22*0.5</f>
        <v>1317.5</v>
      </c>
      <c r="G22" s="29"/>
      <c r="H22" s="29">
        <f>L22*0.666666</f>
        <v>1756.66491</v>
      </c>
      <c r="I22" s="29"/>
      <c r="J22" s="29">
        <f>8500*0.325*0.75</f>
        <v>2071.875</v>
      </c>
      <c r="K22" s="29"/>
      <c r="L22" s="29">
        <f>8500*0.31</f>
        <v>2635</v>
      </c>
      <c r="M22" t="s">
        <v>16</v>
      </c>
    </row>
    <row r="23" spans="1:13" x14ac:dyDescent="0.2">
      <c r="A23" t="s">
        <v>17</v>
      </c>
      <c r="B23" s="29">
        <v>700</v>
      </c>
      <c r="C23" s="29"/>
      <c r="D23" s="29">
        <v>700</v>
      </c>
      <c r="E23" s="29"/>
      <c r="F23" s="29">
        <v>700</v>
      </c>
      <c r="G23" s="29"/>
      <c r="H23" s="29">
        <v>700</v>
      </c>
      <c r="I23" s="29"/>
      <c r="J23" s="29">
        <v>700</v>
      </c>
      <c r="K23" s="29"/>
      <c r="L23" s="29">
        <v>700</v>
      </c>
    </row>
    <row r="24" spans="1:13" x14ac:dyDescent="0.2">
      <c r="A24" t="s">
        <v>87</v>
      </c>
      <c r="B24" s="30">
        <f>(20625*0.155)+(9375*0.12)</f>
        <v>4321.875</v>
      </c>
      <c r="C24" s="29"/>
      <c r="D24" s="30">
        <f>(20625*0.155)+(9375*0.12)</f>
        <v>4321.875</v>
      </c>
      <c r="E24" s="29"/>
      <c r="F24" s="30">
        <f>(F18+F20+F21)*0.12+(20625*0.155)</f>
        <v>4867.2749999999996</v>
      </c>
      <c r="G24" s="29"/>
      <c r="H24" s="30">
        <f>(H18+H20+H21)*0.12+(20625*0.155)</f>
        <v>5424.0742876799995</v>
      </c>
      <c r="I24" s="29"/>
      <c r="J24" s="30">
        <f>(J18+J20+J21)*0.275</f>
        <v>5742.0000000000009</v>
      </c>
      <c r="K24" s="29"/>
      <c r="L24" s="30">
        <f>(L18+L20+L21)*0.275</f>
        <v>7656.0000000000009</v>
      </c>
    </row>
    <row r="25" spans="1:13" ht="20.25" customHeight="1" x14ac:dyDescent="0.2">
      <c r="A25" t="s">
        <v>29</v>
      </c>
      <c r="B25" s="29">
        <f>SUM(B18:B24)</f>
        <v>13173.064999999999</v>
      </c>
      <c r="C25" s="29"/>
      <c r="D25" s="29">
        <f>SUM(D18:D24)</f>
        <v>15890.110277746666</v>
      </c>
      <c r="E25" s="29"/>
      <c r="F25" s="29">
        <f>SUM(F18:F24)</f>
        <v>21869.654999999999</v>
      </c>
      <c r="G25" s="29"/>
      <c r="H25" s="29">
        <f>SUM(H18:H24)</f>
        <v>27860.572807575998</v>
      </c>
      <c r="I25" s="29"/>
      <c r="J25" s="29">
        <f>SUM(J18:J24)</f>
        <v>30991.195</v>
      </c>
      <c r="K25" s="29"/>
      <c r="L25" s="29">
        <f>SUM(L18:L24)</f>
        <v>40960.759999999995</v>
      </c>
    </row>
    <row r="26" spans="1:13" ht="15.75" customHeight="1" x14ac:dyDescent="0.2">
      <c r="A26" s="26" t="s">
        <v>96</v>
      </c>
      <c r="B26" s="26"/>
      <c r="C26" s="26"/>
      <c r="D26" s="26"/>
      <c r="E26" s="26"/>
      <c r="F26" s="26"/>
    </row>
    <row r="27" spans="1:13" x14ac:dyDescent="0.2">
      <c r="J27" s="19"/>
    </row>
    <row r="28" spans="1:13" x14ac:dyDescent="0.2">
      <c r="D28" s="19"/>
      <c r="J28" s="19"/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0" workbookViewId="0">
      <pane xSplit="1" topLeftCell="B1" activePane="topRight" state="frozen"/>
      <selection pane="topRight" activeCell="J34" sqref="J34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  <col min="14" max="14" width="10.28515625" customWidth="1"/>
  </cols>
  <sheetData>
    <row r="1" spans="1:13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customHeight="1" x14ac:dyDescent="0.2">
      <c r="A3" s="5" t="s">
        <v>1</v>
      </c>
      <c r="B3" s="6" t="s">
        <v>2</v>
      </c>
      <c r="C3" s="6"/>
      <c r="D3" s="6" t="s">
        <v>3</v>
      </c>
      <c r="E3" s="6"/>
      <c r="F3" s="6" t="s">
        <v>4</v>
      </c>
      <c r="G3" s="6"/>
      <c r="H3" s="6" t="s">
        <v>5</v>
      </c>
      <c r="I3" s="6"/>
      <c r="J3" s="6" t="s">
        <v>6</v>
      </c>
      <c r="K3" s="6"/>
      <c r="L3" s="6" t="s">
        <v>7</v>
      </c>
      <c r="M3" s="4"/>
    </row>
    <row r="4" spans="1:13" ht="18.75" customHeight="1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ht="15.75" customHeight="1" x14ac:dyDescent="0.2">
      <c r="A5" s="4" t="s">
        <v>9</v>
      </c>
      <c r="B5" s="8">
        <f>L5*0.25</f>
        <v>7916.5</v>
      </c>
      <c r="C5" s="8"/>
      <c r="D5" s="8">
        <f>L5*0.375</f>
        <v>11874.75</v>
      </c>
      <c r="E5" s="8"/>
      <c r="F5" s="8">
        <f>L5/2</f>
        <v>15833</v>
      </c>
      <c r="G5" s="8"/>
      <c r="H5" s="8">
        <f>L5*0.625</f>
        <v>19791.25</v>
      </c>
      <c r="I5" s="8"/>
      <c r="J5" s="8">
        <f>L5*0.75</f>
        <v>23749.5</v>
      </c>
      <c r="K5" s="8"/>
      <c r="L5" s="8">
        <v>31666</v>
      </c>
      <c r="M5" s="9"/>
    </row>
    <row r="6" spans="1:13" x14ac:dyDescent="0.2">
      <c r="A6" s="4" t="s">
        <v>10</v>
      </c>
      <c r="B6" s="8">
        <f>(B5+B8+B7)*0.0712</f>
        <v>1047.8148000000001</v>
      </c>
      <c r="C6" s="8"/>
      <c r="D6" s="8">
        <f>(D5+D8+D7)*0.0712</f>
        <v>1358.1222</v>
      </c>
      <c r="E6" s="8"/>
      <c r="F6" s="8">
        <f>(F5+F8+F7)*0.0712</f>
        <v>1668.4295999999999</v>
      </c>
      <c r="G6" s="8"/>
      <c r="H6" s="8">
        <f>(H5+H8+H7)*0.0712</f>
        <v>1978.7370000000001</v>
      </c>
      <c r="I6" s="8"/>
      <c r="J6" s="8">
        <f>(J5+J8+J7)*0.0712</f>
        <v>2289.0443999999998</v>
      </c>
      <c r="K6" s="8"/>
      <c r="L6" s="8">
        <f>(L5+L8+L7)*0.0828</f>
        <v>3383.7048</v>
      </c>
      <c r="M6" s="4"/>
    </row>
    <row r="7" spans="1:13" x14ac:dyDescent="0.2">
      <c r="A7" s="4" t="s">
        <v>11</v>
      </c>
      <c r="B7" s="8">
        <f>L7*0.25</f>
        <v>800</v>
      </c>
      <c r="C7" s="8"/>
      <c r="D7" s="8">
        <f>L7*0.375</f>
        <v>1200</v>
      </c>
      <c r="E7" s="8"/>
      <c r="F7" s="8">
        <f>L7*0.5</f>
        <v>1600</v>
      </c>
      <c r="G7" s="8"/>
      <c r="H7" s="8">
        <f>L7*0.625</f>
        <v>2000</v>
      </c>
      <c r="I7" s="8"/>
      <c r="J7" s="8">
        <f>L7*0.75</f>
        <v>2400</v>
      </c>
      <c r="K7" s="8"/>
      <c r="L7" s="8">
        <v>3200</v>
      </c>
      <c r="M7" s="10" t="s">
        <v>12</v>
      </c>
    </row>
    <row r="8" spans="1:13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3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3" x14ac:dyDescent="0.2">
      <c r="A10" s="4" t="s">
        <v>15</v>
      </c>
      <c r="B10" s="8">
        <f>L10*0.25</f>
        <v>1190</v>
      </c>
      <c r="C10" s="8"/>
      <c r="D10" s="8">
        <f>L10*0.375</f>
        <v>1785</v>
      </c>
      <c r="E10" s="8"/>
      <c r="F10" s="8">
        <f>L10*0.5</f>
        <v>2380</v>
      </c>
      <c r="G10" s="8"/>
      <c r="H10" s="8">
        <f>L10*0.625</f>
        <v>2975</v>
      </c>
      <c r="I10" s="8"/>
      <c r="J10" s="8">
        <f>L10*0.75</f>
        <v>3570</v>
      </c>
      <c r="K10" s="8"/>
      <c r="L10" s="8">
        <f>8500*0.56</f>
        <v>4760</v>
      </c>
      <c r="M10" s="4" t="s">
        <v>16</v>
      </c>
    </row>
    <row r="11" spans="1:13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3" x14ac:dyDescent="0.2">
      <c r="A12" s="4" t="s">
        <v>18</v>
      </c>
      <c r="B12" s="8">
        <v>8400</v>
      </c>
      <c r="C12" s="8"/>
      <c r="D12" s="8">
        <v>8400</v>
      </c>
      <c r="E12" s="8"/>
      <c r="F12" s="8">
        <v>8400</v>
      </c>
      <c r="G12" s="8"/>
      <c r="H12" s="8">
        <v>8400</v>
      </c>
      <c r="I12" s="8"/>
      <c r="J12" s="8">
        <v>8400</v>
      </c>
      <c r="K12" s="8"/>
      <c r="L12" s="8">
        <f>((L5+L7)*1.3)*0.23</f>
        <v>10424.934000000001</v>
      </c>
      <c r="M12" s="4"/>
    </row>
    <row r="13" spans="1:13" x14ac:dyDescent="0.2">
      <c r="A13" s="4" t="s">
        <v>19</v>
      </c>
      <c r="B13" s="11">
        <f>13625*0.12</f>
        <v>1635</v>
      </c>
      <c r="C13" s="8"/>
      <c r="D13" s="11">
        <f>((D5+D7)*0.3+D5+D7)*0.12</f>
        <v>2039.6609999999998</v>
      </c>
      <c r="E13" s="8"/>
      <c r="F13" s="11">
        <f>((F5+F7)*0.3+F5+F7)*0.12</f>
        <v>2719.5480000000002</v>
      </c>
      <c r="G13" s="8"/>
      <c r="H13" s="11">
        <f>((H5+H7)*0.3+H5+H7)*0.12</f>
        <v>3399.4349999999999</v>
      </c>
      <c r="I13" s="8"/>
      <c r="J13" s="11">
        <f>((J5+J7)*0.3+J5+J7)*0.12</f>
        <v>4079.3219999999997</v>
      </c>
      <c r="K13" s="8"/>
      <c r="L13" s="11">
        <f>((L5+L7)*0.3+L5+L7)*0.12</f>
        <v>5439.0960000000005</v>
      </c>
      <c r="M13" s="4"/>
    </row>
    <row r="14" spans="1:13" ht="20.25" customHeight="1" x14ac:dyDescent="0.2">
      <c r="A14" s="4" t="s">
        <v>20</v>
      </c>
      <c r="B14" s="8">
        <f>SUM(B5:B13)-B8</f>
        <v>22489.3148</v>
      </c>
      <c r="C14" s="8"/>
      <c r="D14" s="8">
        <f>SUM(D5:D13)-D8</f>
        <v>28157.533199999998</v>
      </c>
      <c r="E14" s="8"/>
      <c r="F14" s="8">
        <f>SUM(F5:F13)-F8</f>
        <v>34100.977600000006</v>
      </c>
      <c r="G14" s="8"/>
      <c r="H14" s="8">
        <f>SUM(H5:H13)-H8</f>
        <v>40044.421999999999</v>
      </c>
      <c r="I14" s="8"/>
      <c r="J14" s="8">
        <f>SUM(J5:J13)-J8</f>
        <v>45987.866399999999</v>
      </c>
      <c r="K14" s="8"/>
      <c r="L14" s="8">
        <f>SUM(L5:L13)-L8</f>
        <v>60373.734800000006</v>
      </c>
      <c r="M14" s="4"/>
    </row>
    <row r="15" spans="1:13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3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22</v>
      </c>
    </row>
    <row r="18" spans="1:14" ht="13.5" customHeight="1" x14ac:dyDescent="0.2">
      <c r="A18" s="14" t="s">
        <v>23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18" customHeight="1" x14ac:dyDescent="0.2">
      <c r="A21" s="5" t="s">
        <v>1</v>
      </c>
      <c r="B21" s="6" t="s">
        <v>2</v>
      </c>
      <c r="C21" s="6"/>
      <c r="D21" s="6" t="s">
        <v>3</v>
      </c>
      <c r="E21" s="6"/>
      <c r="F21" s="6" t="s">
        <v>4</v>
      </c>
      <c r="G21" s="6"/>
      <c r="H21" s="6" t="s">
        <v>5</v>
      </c>
      <c r="I21" s="6"/>
      <c r="J21" s="6" t="s">
        <v>6</v>
      </c>
      <c r="K21" s="6"/>
      <c r="L21" s="6" t="s">
        <v>7</v>
      </c>
      <c r="M21" s="4"/>
    </row>
    <row r="22" spans="1:14" ht="18" customHeight="1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7916.5</v>
      </c>
      <c r="C23" s="8"/>
      <c r="D23" s="8">
        <f>L23*0.375</f>
        <v>11874.75</v>
      </c>
      <c r="E23" s="8"/>
      <c r="F23" s="8">
        <f>L23/2</f>
        <v>15833</v>
      </c>
      <c r="G23" s="8"/>
      <c r="H23" s="8">
        <f>L23*0.625</f>
        <v>19791.25</v>
      </c>
      <c r="I23" s="8"/>
      <c r="J23" s="8">
        <f>L23*0.75</f>
        <v>23749.5</v>
      </c>
      <c r="K23" s="8"/>
      <c r="L23" s="8">
        <v>31666</v>
      </c>
      <c r="M23" s="4"/>
      <c r="N23" s="19"/>
    </row>
    <row r="24" spans="1:14" x14ac:dyDescent="0.2">
      <c r="A24" s="4" t="s">
        <v>10</v>
      </c>
      <c r="B24" s="8">
        <f>(B23+B26+B25)*0.0828</f>
        <v>918.37620000000004</v>
      </c>
      <c r="C24" s="8"/>
      <c r="D24" s="8">
        <f>(D23+D26+D25)*0.0828</f>
        <v>1377.5643</v>
      </c>
      <c r="E24" s="8"/>
      <c r="F24" s="8">
        <f>(F23+F26+F25)*0.0828</f>
        <v>1836.7524000000001</v>
      </c>
      <c r="G24" s="8"/>
      <c r="H24" s="8">
        <f>(H23+H26+H25)*0.0828</f>
        <v>2295.9405000000002</v>
      </c>
      <c r="I24" s="8"/>
      <c r="J24" s="8">
        <f>(J23+J26+J25)*0.0828</f>
        <v>2755.1286</v>
      </c>
      <c r="K24" s="8"/>
      <c r="L24" s="8">
        <f>(L23+L26+L25)*0.0828</f>
        <v>3673.5048000000002</v>
      </c>
      <c r="M24" s="4"/>
    </row>
    <row r="25" spans="1:14" x14ac:dyDescent="0.2">
      <c r="A25" s="4" t="s">
        <v>11</v>
      </c>
      <c r="B25" s="8">
        <f>L25*0.25</f>
        <v>800</v>
      </c>
      <c r="C25" s="8"/>
      <c r="D25" s="8">
        <f>L25*0.375</f>
        <v>1200</v>
      </c>
      <c r="E25" s="8"/>
      <c r="F25" s="8">
        <f>L25*0.5</f>
        <v>1600</v>
      </c>
      <c r="G25" s="8"/>
      <c r="H25" s="8">
        <f>L25*0.625</f>
        <v>2000</v>
      </c>
      <c r="I25" s="8"/>
      <c r="J25" s="8">
        <f>L25*0.75</f>
        <v>2400</v>
      </c>
      <c r="K25" s="8"/>
      <c r="L25" s="8">
        <v>3200</v>
      </c>
      <c r="M25" s="4"/>
    </row>
    <row r="26" spans="1:14" x14ac:dyDescent="0.2">
      <c r="A26" s="4" t="s">
        <v>26</v>
      </c>
      <c r="B26" s="8">
        <f>L26*0.25</f>
        <v>2375</v>
      </c>
      <c r="C26" s="8"/>
      <c r="D26" s="8">
        <f>L26*0.375</f>
        <v>3562.5</v>
      </c>
      <c r="E26" s="8"/>
      <c r="F26" s="8">
        <f>L26*0.5</f>
        <v>4750</v>
      </c>
      <c r="G26" s="8"/>
      <c r="H26" s="8">
        <f>L26*0.625</f>
        <v>5937.5</v>
      </c>
      <c r="I26" s="8"/>
      <c r="J26" s="8">
        <f>L26*0.75</f>
        <v>7125</v>
      </c>
      <c r="K26" s="8"/>
      <c r="L26" s="8">
        <v>9500</v>
      </c>
      <c r="M26" s="4"/>
    </row>
    <row r="27" spans="1:14" x14ac:dyDescent="0.2">
      <c r="A27" s="4" t="s">
        <v>15</v>
      </c>
      <c r="B27" s="8">
        <f>L27*0.25</f>
        <v>1190</v>
      </c>
      <c r="C27" s="8"/>
      <c r="D27" s="8">
        <f>L27*0.375</f>
        <v>1785</v>
      </c>
      <c r="E27" s="8"/>
      <c r="F27" s="8">
        <f>L27*0.5</f>
        <v>2380</v>
      </c>
      <c r="G27" s="8"/>
      <c r="H27" s="8">
        <f>L27*0.625</f>
        <v>2975</v>
      </c>
      <c r="I27" s="8"/>
      <c r="J27" s="8">
        <f>L27*0.75</f>
        <v>3570</v>
      </c>
      <c r="K27" s="8"/>
      <c r="L27" s="8">
        <f>8500*0.56</f>
        <v>4760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v>8400</v>
      </c>
      <c r="C29" s="8"/>
      <c r="D29" s="8">
        <v>8400</v>
      </c>
      <c r="E29" s="8"/>
      <c r="F29" s="8">
        <v>8400</v>
      </c>
      <c r="G29" s="8"/>
      <c r="H29" s="8">
        <v>8400</v>
      </c>
      <c r="I29" s="8"/>
      <c r="J29" s="20">
        <v>8400</v>
      </c>
      <c r="K29" s="8"/>
      <c r="L29" s="20">
        <f>(L23+L25+L26)*0.23</f>
        <v>10204.18</v>
      </c>
      <c r="M29" s="4"/>
    </row>
    <row r="30" spans="1:14" x14ac:dyDescent="0.2">
      <c r="A30" s="4" t="s">
        <v>28</v>
      </c>
      <c r="B30" s="11">
        <f>(13625*0.12)</f>
        <v>1635</v>
      </c>
      <c r="C30" s="8"/>
      <c r="D30" s="11">
        <f>((D23+D25+D26)*0.12)</f>
        <v>1996.47</v>
      </c>
      <c r="E30" s="8"/>
      <c r="F30" s="11">
        <f>((F23+F25+F26)*0.12)</f>
        <v>2661.96</v>
      </c>
      <c r="G30" s="8"/>
      <c r="H30" s="11">
        <f>((H23+H25+H26)*0.12)</f>
        <v>3327.45</v>
      </c>
      <c r="I30" s="8"/>
      <c r="J30" s="11">
        <f>((J23+J25+J26)*0.12)</f>
        <v>3992.94</v>
      </c>
      <c r="K30" s="8"/>
      <c r="L30" s="11">
        <f>((L23+L25)+L26)*0.12</f>
        <v>5323.92</v>
      </c>
      <c r="M30" s="4"/>
    </row>
    <row r="31" spans="1:14" ht="20.25" customHeight="1" x14ac:dyDescent="0.2">
      <c r="A31" s="4" t="s">
        <v>29</v>
      </c>
      <c r="B31" s="8">
        <f>SUM(B23:B30)</f>
        <v>24234.876199999999</v>
      </c>
      <c r="C31" s="8"/>
      <c r="D31" s="8">
        <f>SUM(D23:D30)</f>
        <v>31196.284299999999</v>
      </c>
      <c r="E31" s="8"/>
      <c r="F31" s="8">
        <f>SUM(F23:F30)</f>
        <v>38461.712399999997</v>
      </c>
      <c r="G31" s="8"/>
      <c r="H31" s="8">
        <f>SUM(H23:H30)</f>
        <v>45727.140499999994</v>
      </c>
      <c r="I31" s="8"/>
      <c r="J31" s="8">
        <f>SUM(J23:J30)</f>
        <v>52992.568599999999</v>
      </c>
      <c r="K31" s="8"/>
      <c r="L31" s="8">
        <f>SUM(L23:L30)</f>
        <v>69327.604800000001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30</v>
      </c>
    </row>
    <row r="34" spans="1:13" ht="12.75" customHeight="1" x14ac:dyDescent="0.2">
      <c r="A34" s="14" t="s">
        <v>31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1" topLeftCell="B1" activePane="topRight" state="frozen"/>
      <selection activeCell="A7" sqref="A7"/>
      <selection pane="topRight" activeCell="J12" sqref="J12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32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7916.5</v>
      </c>
      <c r="C5" s="8"/>
      <c r="D5" s="8">
        <f>L5/3</f>
        <v>10555.333333333334</v>
      </c>
      <c r="E5" s="8"/>
      <c r="F5" s="8">
        <f>L5/2</f>
        <v>15833</v>
      </c>
      <c r="G5" s="8"/>
      <c r="H5" s="8">
        <f>L5*2/3</f>
        <v>21110.666666666668</v>
      </c>
      <c r="I5" s="8"/>
      <c r="J5" s="8">
        <f>L5*0.75</f>
        <v>23749.5</v>
      </c>
      <c r="K5" s="8"/>
      <c r="L5" s="8">
        <v>31666</v>
      </c>
      <c r="M5" s="9"/>
    </row>
    <row r="6" spans="1:15" x14ac:dyDescent="0.2">
      <c r="A6" s="4" t="s">
        <v>10</v>
      </c>
      <c r="B6" s="8">
        <f>(B5+B8+B7)*0.0712</f>
        <v>1047.8148000000001</v>
      </c>
      <c r="C6" s="8"/>
      <c r="D6" s="8">
        <f>(D5+D8+D7)*0.0712</f>
        <v>1254.6856405333335</v>
      </c>
      <c r="E6" s="8"/>
      <c r="F6" s="8">
        <f>(F5+F8+F7)*0.0712</f>
        <v>1668.4295999999999</v>
      </c>
      <c r="G6" s="8"/>
      <c r="H6" s="8">
        <f>(H5+H8+H7)*0.0712</f>
        <v>2082.1726481066667</v>
      </c>
      <c r="I6" s="8"/>
      <c r="J6" s="8">
        <f>(J5+J8+J7)*0.0712</f>
        <v>2289.0443999999998</v>
      </c>
      <c r="K6" s="8"/>
      <c r="L6" s="8">
        <f>(L5+L8+L7)*0.0828</f>
        <v>3383.7048</v>
      </c>
      <c r="M6" s="4"/>
    </row>
    <row r="7" spans="1:15" x14ac:dyDescent="0.2">
      <c r="A7" s="4" t="s">
        <v>11</v>
      </c>
      <c r="B7" s="8">
        <f>L7*0.25</f>
        <v>800</v>
      </c>
      <c r="C7" s="8"/>
      <c r="D7" s="8">
        <f>L7*0.33333</f>
        <v>1066.6559999999999</v>
      </c>
      <c r="E7" s="8"/>
      <c r="F7" s="8">
        <f>L7*0.5</f>
        <v>1600</v>
      </c>
      <c r="G7" s="8"/>
      <c r="H7" s="8">
        <f>L7*0.666666</f>
        <v>2133.3312000000001</v>
      </c>
      <c r="I7" s="8"/>
      <c r="J7" s="8">
        <f>L7*0.75</f>
        <v>2400</v>
      </c>
      <c r="K7" s="8"/>
      <c r="L7" s="8">
        <v>3200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5" x14ac:dyDescent="0.2">
      <c r="A10" s="4" t="s">
        <v>38</v>
      </c>
      <c r="B10" s="8">
        <f>L10*0.25</f>
        <v>1200.625</v>
      </c>
      <c r="C10" s="8"/>
      <c r="D10" s="8">
        <f>L10*0.33333</f>
        <v>1600.817325</v>
      </c>
      <c r="E10" s="8"/>
      <c r="F10" s="8">
        <f>L10*0.5</f>
        <v>2401.25</v>
      </c>
      <c r="G10" s="8"/>
      <c r="H10" s="8">
        <f>L10*0.666666</f>
        <v>3201.6634650000001</v>
      </c>
      <c r="I10" s="8"/>
      <c r="J10" s="8">
        <f>L10*0.75</f>
        <v>3601.875</v>
      </c>
      <c r="K10" s="8"/>
      <c r="L10" s="8">
        <f>8500*0.565</f>
        <v>4802.5</v>
      </c>
      <c r="M10" s="4" t="s">
        <v>16</v>
      </c>
    </row>
    <row r="11" spans="1:15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5" x14ac:dyDescent="0.2">
      <c r="A12" s="4" t="s">
        <v>18</v>
      </c>
      <c r="B12" s="8">
        <v>8400</v>
      </c>
      <c r="C12" s="8"/>
      <c r="D12" s="8">
        <v>8400</v>
      </c>
      <c r="E12" s="8"/>
      <c r="F12" s="8">
        <v>8400</v>
      </c>
      <c r="G12" s="8"/>
      <c r="H12" s="8">
        <v>8400</v>
      </c>
      <c r="I12" s="8"/>
      <c r="J12" s="8">
        <v>8400</v>
      </c>
      <c r="K12" s="8"/>
      <c r="L12" s="8">
        <f>((L5+L7)*1.3)*0.21</f>
        <v>9518.4179999999997</v>
      </c>
      <c r="M12" s="4"/>
      <c r="O12">
        <f>29575*0.19</f>
        <v>5619.25</v>
      </c>
    </row>
    <row r="13" spans="1:15" x14ac:dyDescent="0.2">
      <c r="A13" s="4" t="s">
        <v>19</v>
      </c>
      <c r="B13" s="11">
        <f>13500*0.12</f>
        <v>1620</v>
      </c>
      <c r="C13" s="8"/>
      <c r="D13" s="11">
        <f>((D5+D7)*0.3+D5+D7)*0.12</f>
        <v>1813.030336</v>
      </c>
      <c r="E13" s="8"/>
      <c r="F13" s="11">
        <f>((F5+F7)*0.3+F5+F7)*0.12</f>
        <v>2719.5480000000002</v>
      </c>
      <c r="G13" s="8"/>
      <c r="H13" s="11">
        <f>((H5+H7)*0.3+H5+H7)*0.12</f>
        <v>3626.0636672000005</v>
      </c>
      <c r="I13" s="8"/>
      <c r="J13" s="11">
        <f>((J5+J7)*0.3+J5+J7)*0.12</f>
        <v>4079.3219999999997</v>
      </c>
      <c r="K13" s="8"/>
      <c r="L13" s="11">
        <f>((L5+L7)*0.3+L5+L7)*0.12</f>
        <v>5439.0960000000005</v>
      </c>
      <c r="M13" s="4"/>
    </row>
    <row r="14" spans="1:15" ht="20.25" customHeight="1" x14ac:dyDescent="0.2">
      <c r="A14" s="4" t="s">
        <v>20</v>
      </c>
      <c r="B14" s="8">
        <f>SUM(B5:B13)-B8</f>
        <v>22484.9398</v>
      </c>
      <c r="C14" s="8"/>
      <c r="D14" s="8">
        <f>SUM(D5:D13)-D8</f>
        <v>26190.522634866666</v>
      </c>
      <c r="E14" s="8"/>
      <c r="F14" s="8">
        <f>SUM(F5:F13)-F8</f>
        <v>34122.227600000006</v>
      </c>
      <c r="G14" s="8"/>
      <c r="H14" s="8">
        <f>SUM(H5:H13)-H8</f>
        <v>42053.897646973339</v>
      </c>
      <c r="I14" s="8"/>
      <c r="J14" s="8">
        <f>SUM(J5:J13)-J8</f>
        <v>46019.741399999999</v>
      </c>
      <c r="K14" s="8"/>
      <c r="L14" s="8">
        <f>SUM(L5:L13)-L8</f>
        <v>59509.718799999995</v>
      </c>
      <c r="M14" s="4"/>
    </row>
    <row r="15" spans="1:15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39</v>
      </c>
    </row>
    <row r="18" spans="1:14" ht="13.5" customHeight="1" x14ac:dyDescent="0.2">
      <c r="A18" s="14" t="s">
        <v>40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20.25" customHeight="1" x14ac:dyDescent="0.2">
      <c r="A21" s="5" t="s">
        <v>32</v>
      </c>
      <c r="B21" s="5" t="s">
        <v>33</v>
      </c>
      <c r="C21" s="5"/>
      <c r="D21" s="5" t="s">
        <v>34</v>
      </c>
      <c r="E21" s="5"/>
      <c r="F21" s="5" t="s">
        <v>35</v>
      </c>
      <c r="G21" s="5"/>
      <c r="H21" s="5" t="s">
        <v>36</v>
      </c>
      <c r="I21" s="5"/>
      <c r="J21" s="5" t="s">
        <v>37</v>
      </c>
      <c r="K21" s="5"/>
      <c r="L21" s="5" t="s">
        <v>7</v>
      </c>
      <c r="M21" s="4"/>
    </row>
    <row r="22" spans="1:14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7916.5</v>
      </c>
      <c r="C23" s="8"/>
      <c r="D23" s="8">
        <f>L23*0.333333</f>
        <v>10555.322778</v>
      </c>
      <c r="E23" s="8"/>
      <c r="F23" s="8">
        <f>L23/2</f>
        <v>15833</v>
      </c>
      <c r="G23" s="8"/>
      <c r="H23" s="8">
        <f>L23*0.6666666</f>
        <v>21110.6645556</v>
      </c>
      <c r="I23" s="8"/>
      <c r="J23" s="8">
        <f>L23*0.75</f>
        <v>23749.5</v>
      </c>
      <c r="K23" s="8"/>
      <c r="L23" s="8">
        <v>31666</v>
      </c>
      <c r="M23" s="4"/>
      <c r="N23" s="19"/>
    </row>
    <row r="24" spans="1:14" x14ac:dyDescent="0.2">
      <c r="A24" s="4" t="s">
        <v>10</v>
      </c>
      <c r="B24" s="8">
        <f>(B23+B26+B25)*0.0828</f>
        <v>918.37620000000004</v>
      </c>
      <c r="C24" s="8"/>
      <c r="D24" s="8">
        <f>(D23+D26+D25)*0.0828</f>
        <v>1224.5004638184</v>
      </c>
      <c r="E24" s="8"/>
      <c r="F24" s="8">
        <f>(F23+F26+F25)*0.0828</f>
        <v>1836.7524000000001</v>
      </c>
      <c r="G24" s="8"/>
      <c r="H24" s="8">
        <f>(H23+H26+H25)*0.0828</f>
        <v>2449.00232416368</v>
      </c>
      <c r="I24" s="8"/>
      <c r="J24" s="8">
        <f>(J23+J26+J25)*0.0828</f>
        <v>2755.1286</v>
      </c>
      <c r="K24" s="8"/>
      <c r="L24" s="8">
        <f>(L23+L26+L25)*0.0828</f>
        <v>3673.5048000000002</v>
      </c>
      <c r="M24" s="4"/>
    </row>
    <row r="25" spans="1:14" x14ac:dyDescent="0.2">
      <c r="A25" s="4" t="s">
        <v>11</v>
      </c>
      <c r="B25" s="8">
        <f>L25*0.25</f>
        <v>800</v>
      </c>
      <c r="C25" s="8"/>
      <c r="D25" s="8">
        <f>L25/3</f>
        <v>1066.6666666666667</v>
      </c>
      <c r="E25" s="8"/>
      <c r="F25" s="8">
        <f>L25*0.5</f>
        <v>1600</v>
      </c>
      <c r="G25" s="8"/>
      <c r="H25" s="8">
        <f>L25*0.666666</f>
        <v>2133.3312000000001</v>
      </c>
      <c r="I25" s="8"/>
      <c r="J25" s="8">
        <f>L25*0.75</f>
        <v>2400</v>
      </c>
      <c r="K25" s="8"/>
      <c r="L25" s="8">
        <v>3200</v>
      </c>
      <c r="M25" s="4"/>
    </row>
    <row r="26" spans="1:14" x14ac:dyDescent="0.2">
      <c r="A26" s="4" t="s">
        <v>26</v>
      </c>
      <c r="B26" s="8">
        <f>L26*0.25</f>
        <v>2375</v>
      </c>
      <c r="C26" s="8"/>
      <c r="D26" s="8">
        <f>L26*0.333333</f>
        <v>3166.6635000000001</v>
      </c>
      <c r="E26" s="8"/>
      <c r="F26" s="8">
        <f>L26*0.5</f>
        <v>4750</v>
      </c>
      <c r="G26" s="8"/>
      <c r="H26" s="8">
        <f>L26*0.666666</f>
        <v>6333.3270000000002</v>
      </c>
      <c r="I26" s="8"/>
      <c r="J26" s="8">
        <f>L26*0.75</f>
        <v>7125</v>
      </c>
      <c r="K26" s="8"/>
      <c r="L26" s="8">
        <v>9500</v>
      </c>
      <c r="M26" s="4"/>
    </row>
    <row r="27" spans="1:14" x14ac:dyDescent="0.2">
      <c r="A27" s="4" t="s">
        <v>38</v>
      </c>
      <c r="B27" s="8">
        <f>L27*0.25</f>
        <v>1200.625</v>
      </c>
      <c r="C27" s="8"/>
      <c r="D27" s="8">
        <f>L27*0.33333</f>
        <v>1600.817325</v>
      </c>
      <c r="E27" s="8"/>
      <c r="F27" s="8">
        <f>L27*0.5</f>
        <v>2401.25</v>
      </c>
      <c r="G27" s="8"/>
      <c r="H27" s="8">
        <f>L27*0.666666</f>
        <v>3201.6634650000001</v>
      </c>
      <c r="I27" s="8"/>
      <c r="J27" s="8">
        <f>L27*0.75</f>
        <v>3601.875</v>
      </c>
      <c r="K27" s="8"/>
      <c r="L27" s="8">
        <f>8500*0.565</f>
        <v>4802.5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v>8400</v>
      </c>
      <c r="C29" s="8"/>
      <c r="D29" s="8">
        <v>8400</v>
      </c>
      <c r="E29" s="8"/>
      <c r="F29" s="8">
        <v>8400</v>
      </c>
      <c r="G29" s="8"/>
      <c r="H29" s="8">
        <v>8400</v>
      </c>
      <c r="I29" s="8"/>
      <c r="J29" s="20">
        <v>8400</v>
      </c>
      <c r="K29" s="8"/>
      <c r="L29" s="20">
        <f>(L23+L25+L26)*0.21</f>
        <v>9316.8599999999988</v>
      </c>
      <c r="M29" s="4"/>
    </row>
    <row r="30" spans="1:14" x14ac:dyDescent="0.2">
      <c r="A30" s="4" t="s">
        <v>28</v>
      </c>
      <c r="B30" s="11">
        <f>(13500*0.12)</f>
        <v>1620</v>
      </c>
      <c r="C30" s="8"/>
      <c r="D30" s="11">
        <f>((D23+D25+D26)*0.12)</f>
        <v>1774.6383533599999</v>
      </c>
      <c r="E30" s="8"/>
      <c r="F30" s="11">
        <f>((F23+F25+F26)*0.12)</f>
        <v>2661.96</v>
      </c>
      <c r="G30" s="8"/>
      <c r="H30" s="11">
        <f>((H23+H25+H26)*0.12)</f>
        <v>3549.2787306720002</v>
      </c>
      <c r="I30" s="8"/>
      <c r="J30" s="11">
        <f>((J23+J25+J26)*0.12)</f>
        <v>3992.94</v>
      </c>
      <c r="K30" s="8"/>
      <c r="L30" s="11">
        <f>((L23+L25)+L26)*0.12</f>
        <v>5323.92</v>
      </c>
      <c r="M30" s="4"/>
    </row>
    <row r="31" spans="1:14" ht="20.25" customHeight="1" x14ac:dyDescent="0.2">
      <c r="A31" s="4" t="s">
        <v>29</v>
      </c>
      <c r="B31" s="8">
        <f>SUM(B23:B30)</f>
        <v>24230.501199999999</v>
      </c>
      <c r="C31" s="8"/>
      <c r="D31" s="8">
        <f>SUM(D23:D30)</f>
        <v>28788.609086845066</v>
      </c>
      <c r="E31" s="8"/>
      <c r="F31" s="8">
        <f>SUM(F23:F30)</f>
        <v>38482.962399999997</v>
      </c>
      <c r="G31" s="8"/>
      <c r="H31" s="8">
        <f>SUM(H23:H30)</f>
        <v>48177.267275435683</v>
      </c>
      <c r="I31" s="8"/>
      <c r="J31" s="8">
        <f>SUM(J23:J30)</f>
        <v>53024.443599999999</v>
      </c>
      <c r="K31" s="8"/>
      <c r="L31" s="8">
        <f>SUM(L23:L30)</f>
        <v>68482.784800000009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41</v>
      </c>
    </row>
    <row r="34" spans="1:13" ht="12.75" customHeight="1" x14ac:dyDescent="0.2">
      <c r="A34" s="14" t="s">
        <v>42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1" topLeftCell="B1" activePane="topRight" state="frozen"/>
      <selection activeCell="A4" sqref="A4"/>
      <selection pane="topRight" activeCell="J1" sqref="J1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43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7686</v>
      </c>
      <c r="C5" s="8"/>
      <c r="D5" s="8">
        <f>L5/3</f>
        <v>10248</v>
      </c>
      <c r="E5" s="8"/>
      <c r="F5" s="8">
        <f>L5/2</f>
        <v>15372</v>
      </c>
      <c r="G5" s="8"/>
      <c r="H5" s="8">
        <f>L5*2/3</f>
        <v>20496</v>
      </c>
      <c r="I5" s="8"/>
      <c r="J5" s="8">
        <f>L5*0.75</f>
        <v>23058</v>
      </c>
      <c r="K5" s="8"/>
      <c r="L5" s="8">
        <v>30744</v>
      </c>
      <c r="M5" s="9"/>
    </row>
    <row r="6" spans="1:15" x14ac:dyDescent="0.2">
      <c r="A6" s="4" t="s">
        <v>10</v>
      </c>
      <c r="B6" s="8">
        <f>(B5+B8+B7)*0.0712</f>
        <v>1031.4032</v>
      </c>
      <c r="C6" s="8"/>
      <c r="D6" s="8">
        <f>(D5+D8+D7)*0.0712</f>
        <v>1232.8035072</v>
      </c>
      <c r="E6" s="8"/>
      <c r="F6" s="8">
        <f>(F5+F8+F7)*0.0712</f>
        <v>1635.6063999999999</v>
      </c>
      <c r="G6" s="8"/>
      <c r="H6" s="8">
        <f>(H5+H8+H7)*0.0712</f>
        <v>2038.4083814400001</v>
      </c>
      <c r="I6" s="8"/>
      <c r="J6" s="8">
        <f>(J5+J8+J7)*0.0712</f>
        <v>2239.8096</v>
      </c>
      <c r="K6" s="8"/>
      <c r="L6" s="8">
        <f>(L5+L8+L7)*0.0828</f>
        <v>3307.3631999999998</v>
      </c>
      <c r="M6" s="4"/>
    </row>
    <row r="7" spans="1:15" x14ac:dyDescent="0.2">
      <c r="A7" s="4" t="s">
        <v>11</v>
      </c>
      <c r="B7" s="8">
        <f>L7*0.25</f>
        <v>800</v>
      </c>
      <c r="C7" s="8"/>
      <c r="D7" s="8">
        <f>L7*0.33333</f>
        <v>1066.6559999999999</v>
      </c>
      <c r="E7" s="8"/>
      <c r="F7" s="8">
        <f>L7*0.5</f>
        <v>1600</v>
      </c>
      <c r="G7" s="8"/>
      <c r="H7" s="8">
        <f>L7*0.666666</f>
        <v>2133.3312000000001</v>
      </c>
      <c r="I7" s="8"/>
      <c r="J7" s="8">
        <f>L7*0.75</f>
        <v>2400</v>
      </c>
      <c r="K7" s="8"/>
      <c r="L7" s="8">
        <v>3200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5" x14ac:dyDescent="0.2">
      <c r="A10" s="4" t="s">
        <v>44</v>
      </c>
      <c r="B10" s="8">
        <f>L10*0.25</f>
        <v>1179.375</v>
      </c>
      <c r="C10" s="8"/>
      <c r="D10" s="8">
        <f>L10*0.33333</f>
        <v>1572.484275</v>
      </c>
      <c r="E10" s="8"/>
      <c r="F10" s="8">
        <f>L10*0.5</f>
        <v>2358.75</v>
      </c>
      <c r="G10" s="8"/>
      <c r="H10" s="8">
        <f>L10*0.666666</f>
        <v>3144.9968549999999</v>
      </c>
      <c r="I10" s="8"/>
      <c r="J10" s="8">
        <f>L10*0.75</f>
        <v>3538.125</v>
      </c>
      <c r="K10" s="8"/>
      <c r="L10" s="8">
        <f>8500*0.555</f>
        <v>4717.5</v>
      </c>
      <c r="M10" s="4" t="s">
        <v>16</v>
      </c>
    </row>
    <row r="11" spans="1:15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5" x14ac:dyDescent="0.2">
      <c r="A12" s="4" t="s">
        <v>18</v>
      </c>
      <c r="B12" s="8">
        <f>(((B5+B7)*1.3)*35/10)*0.2025</f>
        <v>7818.7882500000014</v>
      </c>
      <c r="C12" s="8"/>
      <c r="D12" s="8">
        <f>(((D5+D7)*1.3)*35/13.33333)*0.2025</f>
        <v>7818.7828336957082</v>
      </c>
      <c r="E12" s="8"/>
      <c r="F12" s="8">
        <f>(((F5+F7)*1.3)*35/20)*0.2025</f>
        <v>7818.7882500000014</v>
      </c>
      <c r="G12" s="8"/>
      <c r="H12" s="8">
        <f>(((H5+H7)*1.3)*35/26.66666)*0.2025</f>
        <v>7818.7894675973675</v>
      </c>
      <c r="I12" s="8"/>
      <c r="J12" s="8">
        <f>(((J5+J7)*1.3)*35/30)*0.2025</f>
        <v>7818.7882500000014</v>
      </c>
      <c r="K12" s="8"/>
      <c r="L12" s="8">
        <f>((L5+L7)*1.3)*0.2025</f>
        <v>8935.7580000000016</v>
      </c>
      <c r="M12" s="4"/>
      <c r="O12">
        <f>29575*0.19</f>
        <v>5619.25</v>
      </c>
    </row>
    <row r="13" spans="1:15" x14ac:dyDescent="0.2">
      <c r="A13" s="4" t="s">
        <v>19</v>
      </c>
      <c r="B13" s="11">
        <f>13325*0.12</f>
        <v>1599</v>
      </c>
      <c r="C13" s="8"/>
      <c r="D13" s="11">
        <f>((D5+D7)*0.3+D5+D7)*0.12</f>
        <v>1765.0863359999996</v>
      </c>
      <c r="E13" s="8"/>
      <c r="F13" s="11">
        <f>((F5+F7)*0.3+F5+F7)*0.12</f>
        <v>2647.6319999999996</v>
      </c>
      <c r="G13" s="8"/>
      <c r="H13" s="11">
        <f>((H5+H7)*0.3+H5+H7)*0.12</f>
        <v>3530.1756672000001</v>
      </c>
      <c r="I13" s="8"/>
      <c r="J13" s="11">
        <f>((J5+J7)*0.3+J5+J7)*0.12</f>
        <v>3971.4479999999999</v>
      </c>
      <c r="K13" s="8"/>
      <c r="L13" s="11">
        <f>((L5+L7)*0.3+L5+L7)*0.12</f>
        <v>5295.2639999999992</v>
      </c>
      <c r="M13" s="4"/>
    </row>
    <row r="14" spans="1:15" ht="20.25" customHeight="1" x14ac:dyDescent="0.2">
      <c r="A14" s="4" t="s">
        <v>20</v>
      </c>
      <c r="B14" s="8">
        <f>SUM(B5:B13)-B8</f>
        <v>21614.566450000002</v>
      </c>
      <c r="C14" s="8"/>
      <c r="D14" s="8">
        <f>SUM(D5:D13)-D8</f>
        <v>25203.812951895707</v>
      </c>
      <c r="E14" s="8"/>
      <c r="F14" s="8">
        <f>SUM(F5:F13)-F8</f>
        <v>32932.77665</v>
      </c>
      <c r="G14" s="8"/>
      <c r="H14" s="8">
        <f>SUM(H5:H13)-H8</f>
        <v>40661.701571237361</v>
      </c>
      <c r="I14" s="8"/>
      <c r="J14" s="8">
        <f>SUM(J5:J13)-J8</f>
        <v>44526.170850000002</v>
      </c>
      <c r="K14" s="8"/>
      <c r="L14" s="8">
        <f>SUM(L5:L13)-L8</f>
        <v>57699.885200000004</v>
      </c>
      <c r="M14" s="4"/>
    </row>
    <row r="15" spans="1:15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45</v>
      </c>
    </row>
    <row r="18" spans="1:14" ht="13.5" customHeight="1" x14ac:dyDescent="0.2">
      <c r="A18" s="14" t="s">
        <v>46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20.25" customHeight="1" x14ac:dyDescent="0.2">
      <c r="A21" s="5" t="s">
        <v>43</v>
      </c>
      <c r="B21" s="5" t="s">
        <v>33</v>
      </c>
      <c r="C21" s="5"/>
      <c r="D21" s="5" t="s">
        <v>34</v>
      </c>
      <c r="E21" s="5"/>
      <c r="F21" s="5" t="s">
        <v>35</v>
      </c>
      <c r="G21" s="5"/>
      <c r="H21" s="5" t="s">
        <v>36</v>
      </c>
      <c r="I21" s="5"/>
      <c r="J21" s="5" t="s">
        <v>37</v>
      </c>
      <c r="K21" s="5"/>
      <c r="L21" s="5" t="s">
        <v>7</v>
      </c>
      <c r="M21" s="4"/>
    </row>
    <row r="22" spans="1:14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7686</v>
      </c>
      <c r="C23" s="8"/>
      <c r="D23" s="8">
        <f>L23*0.333333</f>
        <v>10247.989751999999</v>
      </c>
      <c r="E23" s="8"/>
      <c r="F23" s="8">
        <f>L23/2</f>
        <v>15372</v>
      </c>
      <c r="G23" s="8"/>
      <c r="H23" s="8">
        <f>L23*0.6666666</f>
        <v>20495.9979504</v>
      </c>
      <c r="I23" s="8"/>
      <c r="J23" s="8">
        <f>L23*0.75</f>
        <v>23058</v>
      </c>
      <c r="K23" s="8"/>
      <c r="L23" s="8">
        <v>30744</v>
      </c>
      <c r="M23" s="4"/>
      <c r="N23" s="19"/>
    </row>
    <row r="24" spans="1:14" x14ac:dyDescent="0.2">
      <c r="A24" s="4" t="s">
        <v>10</v>
      </c>
      <c r="B24" s="8">
        <f>(B23+B26+B25)*0.0828</f>
        <v>893.55690000000004</v>
      </c>
      <c r="C24" s="8"/>
      <c r="D24" s="8">
        <f>(D23+D26+D25)*0.0828</f>
        <v>1191.4080969107999</v>
      </c>
      <c r="E24" s="8"/>
      <c r="F24" s="8">
        <f>(F23+F26+F25)*0.0828</f>
        <v>1787.1138000000001</v>
      </c>
      <c r="G24" s="8"/>
      <c r="H24" s="8">
        <f>(H23+H26+H25)*0.0828</f>
        <v>2382.8175445435199</v>
      </c>
      <c r="I24" s="8"/>
      <c r="J24" s="8">
        <f>(J23+J26+J25)*0.0828</f>
        <v>2680.6707000000001</v>
      </c>
      <c r="K24" s="8"/>
      <c r="L24" s="8">
        <f>(L23+L26+L25)*0.0828</f>
        <v>3574.2276000000002</v>
      </c>
      <c r="M24" s="4"/>
    </row>
    <row r="25" spans="1:14" x14ac:dyDescent="0.2">
      <c r="A25" s="4" t="s">
        <v>11</v>
      </c>
      <c r="B25" s="8">
        <f>L25*0.25</f>
        <v>800</v>
      </c>
      <c r="C25" s="8"/>
      <c r="D25" s="8">
        <f>L25/3</f>
        <v>1066.6666666666667</v>
      </c>
      <c r="E25" s="8"/>
      <c r="F25" s="8">
        <f>L25*0.5</f>
        <v>1600</v>
      </c>
      <c r="G25" s="8"/>
      <c r="H25" s="8">
        <f>L25*0.666666</f>
        <v>2133.3312000000001</v>
      </c>
      <c r="I25" s="8"/>
      <c r="J25" s="8">
        <f>L25*0.75</f>
        <v>2400</v>
      </c>
      <c r="K25" s="8"/>
      <c r="L25" s="8">
        <v>3200</v>
      </c>
      <c r="M25" s="4"/>
    </row>
    <row r="26" spans="1:14" x14ac:dyDescent="0.2">
      <c r="A26" s="4" t="s">
        <v>26</v>
      </c>
      <c r="B26" s="8">
        <f>L26*0.25</f>
        <v>2305.75</v>
      </c>
      <c r="C26" s="8"/>
      <c r="D26" s="8">
        <f>L26*0.333333</f>
        <v>3074.3302589999998</v>
      </c>
      <c r="E26" s="8"/>
      <c r="F26" s="8">
        <f>L26*0.5</f>
        <v>4611.5</v>
      </c>
      <c r="G26" s="8"/>
      <c r="H26" s="8">
        <f>L26*0.666666</f>
        <v>6148.6605179999997</v>
      </c>
      <c r="I26" s="8"/>
      <c r="J26" s="8">
        <f>L26*0.75</f>
        <v>6917.25</v>
      </c>
      <c r="K26" s="8"/>
      <c r="L26" s="8">
        <v>9223</v>
      </c>
      <c r="M26" s="4"/>
    </row>
    <row r="27" spans="1:14" x14ac:dyDescent="0.2">
      <c r="A27" s="4" t="s">
        <v>44</v>
      </c>
      <c r="B27" s="8">
        <f>L27*0.25</f>
        <v>1179.375</v>
      </c>
      <c r="C27" s="8"/>
      <c r="D27" s="8">
        <f>L27*0.33333</f>
        <v>1572.484275</v>
      </c>
      <c r="E27" s="8"/>
      <c r="F27" s="8">
        <f>L27*0.5</f>
        <v>2358.75</v>
      </c>
      <c r="G27" s="8"/>
      <c r="H27" s="8">
        <f>L27*0.666666</f>
        <v>3144.9968549999999</v>
      </c>
      <c r="I27" s="8"/>
      <c r="J27" s="8">
        <f>L27*0.75</f>
        <v>3538.125</v>
      </c>
      <c r="K27" s="8"/>
      <c r="L27" s="8">
        <f>8500*0.555</f>
        <v>4717.5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f>((B23+B25+B26)*35/10)*0.2025</f>
        <v>7648.6528125000004</v>
      </c>
      <c r="C29" s="8"/>
      <c r="D29" s="8">
        <f>((D23+D25+D26)*35/13.33333)*0.2025</f>
        <v>7648.647643009097</v>
      </c>
      <c r="E29" s="8"/>
      <c r="F29" s="8">
        <f>((F23+F25+F26)*35/20)*0.2025</f>
        <v>7648.6528125000004</v>
      </c>
      <c r="G29" s="8"/>
      <c r="H29" s="8">
        <f>((H23+H25+H26)*35/26.66666)*0.2025</f>
        <v>7648.6519787174329</v>
      </c>
      <c r="I29" s="8"/>
      <c r="J29" s="20">
        <f>((J23+J25+J26)*35/30)*0.2025</f>
        <v>7648.6528125000004</v>
      </c>
      <c r="K29" s="8"/>
      <c r="L29" s="20">
        <f>(L23+L25+L26)*0.2025</f>
        <v>8741.317500000001</v>
      </c>
      <c r="M29" s="4"/>
    </row>
    <row r="30" spans="1:14" x14ac:dyDescent="0.2">
      <c r="A30" s="4" t="s">
        <v>28</v>
      </c>
      <c r="B30" s="11">
        <f>(13325*0.12)</f>
        <v>1599</v>
      </c>
      <c r="C30" s="8"/>
      <c r="D30" s="11">
        <f>((D23+D25+D26)*0.12)</f>
        <v>1726.6784013199999</v>
      </c>
      <c r="E30" s="8"/>
      <c r="F30" s="11">
        <f>((F23+F25+F26)*0.12)</f>
        <v>2590.02</v>
      </c>
      <c r="G30" s="8"/>
      <c r="H30" s="11">
        <f>((H23+H25+H26)*0.12)</f>
        <v>3453.3587602080001</v>
      </c>
      <c r="I30" s="8"/>
      <c r="J30" s="11">
        <f>((J23+J25+J26)*0.12)</f>
        <v>3885.0299999999997</v>
      </c>
      <c r="K30" s="8"/>
      <c r="L30" s="11">
        <f>((L23+L25)+L26)*0.12</f>
        <v>5180.04</v>
      </c>
      <c r="M30" s="4"/>
    </row>
    <row r="31" spans="1:14" ht="20.25" customHeight="1" x14ac:dyDescent="0.2">
      <c r="A31" s="4" t="s">
        <v>29</v>
      </c>
      <c r="B31" s="8">
        <f>SUM(B23:B30)</f>
        <v>23112.3347125</v>
      </c>
      <c r="C31" s="8"/>
      <c r="D31" s="8">
        <f>SUM(D23:D30)</f>
        <v>27528.205093906567</v>
      </c>
      <c r="E31" s="8"/>
      <c r="F31" s="8">
        <f>SUM(F23:F30)</f>
        <v>36968.036612499993</v>
      </c>
      <c r="G31" s="8"/>
      <c r="H31" s="8">
        <f>SUM(H23:H30)</f>
        <v>46407.814806868955</v>
      </c>
      <c r="I31" s="8"/>
      <c r="J31" s="8">
        <f>SUM(J23:J30)</f>
        <v>51127.728512500005</v>
      </c>
      <c r="K31" s="8"/>
      <c r="L31" s="8">
        <f>SUM(L23:L30)</f>
        <v>66380.085099999997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47</v>
      </c>
    </row>
    <row r="34" spans="1:13" ht="12.75" customHeight="1" x14ac:dyDescent="0.2">
      <c r="A34" s="14" t="s">
        <v>48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1" topLeftCell="B1" activePane="topRight" state="frozen"/>
      <selection activeCell="A18" sqref="A18"/>
      <selection pane="topRight" activeCell="A33" sqref="A33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49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7686</v>
      </c>
      <c r="C5" s="8"/>
      <c r="D5" s="8">
        <f>L5/3</f>
        <v>10248</v>
      </c>
      <c r="E5" s="8"/>
      <c r="F5" s="8">
        <f>L5/2</f>
        <v>15372</v>
      </c>
      <c r="G5" s="8"/>
      <c r="H5" s="8">
        <f>L5*2/3</f>
        <v>20496</v>
      </c>
      <c r="I5" s="8"/>
      <c r="J5" s="8">
        <f>L5*0.75</f>
        <v>23058</v>
      </c>
      <c r="K5" s="8"/>
      <c r="L5" s="8">
        <v>30744</v>
      </c>
      <c r="M5" s="9"/>
    </row>
    <row r="6" spans="1:15" x14ac:dyDescent="0.2">
      <c r="A6" s="4" t="s">
        <v>10</v>
      </c>
      <c r="B6" s="8">
        <f>(B5+B8+B7)*0.0712</f>
        <v>1031.4032</v>
      </c>
      <c r="C6" s="8"/>
      <c r="D6" s="8">
        <f>(D5+D8+D7)*0.0712</f>
        <v>1232.8035072</v>
      </c>
      <c r="E6" s="8"/>
      <c r="F6" s="8">
        <f>(F5+F8+F7)*0.0712</f>
        <v>1635.6063999999999</v>
      </c>
      <c r="G6" s="8"/>
      <c r="H6" s="8">
        <f>(H5+H8+H7)*0.0712</f>
        <v>2038.4083814400001</v>
      </c>
      <c r="I6" s="8"/>
      <c r="J6" s="8">
        <f>(J5+J8+J7)*0.0712</f>
        <v>2239.8096</v>
      </c>
      <c r="K6" s="8"/>
      <c r="L6" s="8">
        <f>(L5+L8+L7)*0.0712</f>
        <v>2844.0128</v>
      </c>
      <c r="M6" s="4"/>
    </row>
    <row r="7" spans="1:15" x14ac:dyDescent="0.2">
      <c r="A7" s="4" t="s">
        <v>11</v>
      </c>
      <c r="B7" s="8">
        <f>L7*0.25</f>
        <v>800</v>
      </c>
      <c r="C7" s="8"/>
      <c r="D7" s="8">
        <f>L7*0.33333</f>
        <v>1066.6559999999999</v>
      </c>
      <c r="E7" s="8"/>
      <c r="F7" s="8">
        <f>L7*0.5</f>
        <v>1600</v>
      </c>
      <c r="G7" s="8"/>
      <c r="H7" s="8">
        <f>L7*0.666666</f>
        <v>2133.3312000000001</v>
      </c>
      <c r="I7" s="8"/>
      <c r="J7" s="8">
        <f>L7*0.75</f>
        <v>2400</v>
      </c>
      <c r="K7" s="8"/>
      <c r="L7" s="8">
        <v>3200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5" x14ac:dyDescent="0.2">
      <c r="A10" s="4" t="s">
        <v>50</v>
      </c>
      <c r="B10" s="8">
        <f>L10*0.25</f>
        <v>1083.75</v>
      </c>
      <c r="C10" s="8"/>
      <c r="D10" s="8">
        <f>L10*0.33333</f>
        <v>1444.9855500000001</v>
      </c>
      <c r="E10" s="8"/>
      <c r="F10" s="8">
        <f>L10*0.5</f>
        <v>2167.5</v>
      </c>
      <c r="G10" s="8"/>
      <c r="H10" s="8">
        <f>L10*0.666666</f>
        <v>2889.9971099999998</v>
      </c>
      <c r="I10" s="8"/>
      <c r="J10" s="8">
        <f>L10*0.75</f>
        <v>3251.25</v>
      </c>
      <c r="K10" s="8"/>
      <c r="L10" s="8">
        <f>8500*0.51</f>
        <v>4335</v>
      </c>
      <c r="M10" s="4" t="s">
        <v>16</v>
      </c>
    </row>
    <row r="11" spans="1:15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5" x14ac:dyDescent="0.2">
      <c r="A12" s="4" t="s">
        <v>18</v>
      </c>
      <c r="B12" s="8">
        <f>(((B5+B7)*1.3)*35/10)*0.195</f>
        <v>7529.2035000000005</v>
      </c>
      <c r="C12" s="8"/>
      <c r="D12" s="8">
        <f>(((D5+D7)*1.3)*35/13.33333)*0.195</f>
        <v>7529.1982842995712</v>
      </c>
      <c r="E12" s="8"/>
      <c r="F12" s="8">
        <f>(((F5+F7)*1.3)*35/20)*0.195</f>
        <v>7529.2035000000005</v>
      </c>
      <c r="G12" s="8"/>
      <c r="H12" s="8">
        <f>(((H5+H7)*1.3)*35/26.66666)*0.195</f>
        <v>7529.2046725011687</v>
      </c>
      <c r="I12" s="8"/>
      <c r="J12" s="8">
        <f>(((J5+J7)*1.3)*35/30)*0.195</f>
        <v>7529.2035000000005</v>
      </c>
      <c r="K12" s="8"/>
      <c r="L12" s="8">
        <f>((L5+L7)*1.3)*0.195</f>
        <v>8604.8040000000019</v>
      </c>
      <c r="M12" s="4"/>
      <c r="O12">
        <f>29575*0.19</f>
        <v>5619.25</v>
      </c>
    </row>
    <row r="13" spans="1:15" x14ac:dyDescent="0.2">
      <c r="A13" s="4" t="s">
        <v>19</v>
      </c>
      <c r="B13" s="11">
        <f>13225*0.12</f>
        <v>1587</v>
      </c>
      <c r="C13" s="8"/>
      <c r="D13" s="11">
        <f>((D5+D7)*0.3+D5+D7)*0.12</f>
        <v>1765.0863359999996</v>
      </c>
      <c r="E13" s="8"/>
      <c r="F13" s="11">
        <f>((F5+F7)*0.3+F5+F7)*0.12</f>
        <v>2647.6319999999996</v>
      </c>
      <c r="G13" s="8"/>
      <c r="H13" s="11">
        <f>((H5+H7)*0.3+H5+H7)*0.12</f>
        <v>3530.1756672000001</v>
      </c>
      <c r="I13" s="8"/>
      <c r="J13" s="11">
        <f>((J5+J7)*0.3+J5+J7)*0.12</f>
        <v>3971.4479999999999</v>
      </c>
      <c r="K13" s="8"/>
      <c r="L13" s="11">
        <f>((L5+L7)*0.3+L5+L7)*0.12</f>
        <v>5295.2639999999992</v>
      </c>
      <c r="M13" s="4"/>
    </row>
    <row r="14" spans="1:15" ht="20.25" customHeight="1" x14ac:dyDescent="0.2">
      <c r="A14" s="4" t="s">
        <v>20</v>
      </c>
      <c r="B14" s="8">
        <f>SUM(B5:B13)-B8</f>
        <v>21217.3567</v>
      </c>
      <c r="C14" s="8"/>
      <c r="D14" s="8">
        <f>SUM(D5:D13)-D8</f>
        <v>24786.729677499574</v>
      </c>
      <c r="E14" s="8"/>
      <c r="F14" s="8">
        <f>SUM(F5:F13)-F8</f>
        <v>32451.941899999998</v>
      </c>
      <c r="G14" s="8"/>
      <c r="H14" s="8">
        <f>SUM(H5:H13)-H8</f>
        <v>40117.117031141162</v>
      </c>
      <c r="I14" s="8"/>
      <c r="J14" s="8">
        <f>SUM(J5:J13)-J8</f>
        <v>43949.7111</v>
      </c>
      <c r="K14" s="8"/>
      <c r="L14" s="8">
        <f>SUM(L5:L13)-L8</f>
        <v>56523.080799999996</v>
      </c>
      <c r="M14" s="4"/>
    </row>
    <row r="15" spans="1:15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51</v>
      </c>
    </row>
    <row r="18" spans="1:14" ht="13.5" customHeight="1" x14ac:dyDescent="0.2">
      <c r="A18" s="14" t="s">
        <v>52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20.25" customHeight="1" x14ac:dyDescent="0.2">
      <c r="A21" s="5" t="s">
        <v>49</v>
      </c>
      <c r="B21" s="5" t="s">
        <v>33</v>
      </c>
      <c r="C21" s="5"/>
      <c r="D21" s="5" t="s">
        <v>34</v>
      </c>
      <c r="E21" s="5"/>
      <c r="F21" s="5" t="s">
        <v>35</v>
      </c>
      <c r="G21" s="5"/>
      <c r="H21" s="5" t="s">
        <v>36</v>
      </c>
      <c r="I21" s="5"/>
      <c r="J21" s="5" t="s">
        <v>37</v>
      </c>
      <c r="K21" s="5"/>
      <c r="L21" s="5" t="s">
        <v>7</v>
      </c>
      <c r="M21" s="4"/>
    </row>
    <row r="22" spans="1:14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7686</v>
      </c>
      <c r="C23" s="8"/>
      <c r="D23" s="8">
        <f>L23*0.333333</f>
        <v>10247.989751999999</v>
      </c>
      <c r="E23" s="8"/>
      <c r="F23" s="8">
        <f>L23/2</f>
        <v>15372</v>
      </c>
      <c r="G23" s="8"/>
      <c r="H23" s="8">
        <f>L23*0.6666666</f>
        <v>20495.9979504</v>
      </c>
      <c r="I23" s="8"/>
      <c r="J23" s="8">
        <f>L23*0.75</f>
        <v>23058</v>
      </c>
      <c r="K23" s="8"/>
      <c r="L23" s="8">
        <v>30744</v>
      </c>
      <c r="M23" s="4"/>
      <c r="N23" s="19"/>
    </row>
    <row r="24" spans="1:14" x14ac:dyDescent="0.2">
      <c r="A24" s="4" t="s">
        <v>10</v>
      </c>
      <c r="B24" s="8">
        <f>(B23+B26+B25)*0.0712</f>
        <v>768.37260000000003</v>
      </c>
      <c r="C24" s="8"/>
      <c r="D24" s="8">
        <f>(D23+D26+D25)*0.0712</f>
        <v>1024.4958514498667</v>
      </c>
      <c r="E24" s="8"/>
      <c r="F24" s="8">
        <f>(F23+F26+F25)*0.0712</f>
        <v>1536.7452000000001</v>
      </c>
      <c r="G24" s="8"/>
      <c r="H24" s="8">
        <f>(H23+H26+H25)*0.0712</f>
        <v>2048.9928643900803</v>
      </c>
      <c r="I24" s="8"/>
      <c r="J24" s="8">
        <f>(J23+J26+J25)*0.0712</f>
        <v>2305.1178</v>
      </c>
      <c r="K24" s="8"/>
      <c r="L24" s="8">
        <f>(L23+L26+L25)*0.0712</f>
        <v>3073.4904000000001</v>
      </c>
      <c r="M24" s="4"/>
    </row>
    <row r="25" spans="1:14" x14ac:dyDescent="0.2">
      <c r="A25" s="4" t="s">
        <v>11</v>
      </c>
      <c r="B25" s="8">
        <f>L25*0.25</f>
        <v>800</v>
      </c>
      <c r="C25" s="8"/>
      <c r="D25" s="8">
        <f>L25/3</f>
        <v>1066.6666666666667</v>
      </c>
      <c r="E25" s="8"/>
      <c r="F25" s="8">
        <f>L25*0.5</f>
        <v>1600</v>
      </c>
      <c r="G25" s="8"/>
      <c r="H25" s="8">
        <f>L25*0.666666</f>
        <v>2133.3312000000001</v>
      </c>
      <c r="I25" s="8"/>
      <c r="J25" s="8">
        <f>L25*0.75</f>
        <v>2400</v>
      </c>
      <c r="K25" s="8"/>
      <c r="L25" s="8">
        <v>3200</v>
      </c>
      <c r="M25" s="4"/>
    </row>
    <row r="26" spans="1:14" x14ac:dyDescent="0.2">
      <c r="A26" s="4" t="s">
        <v>26</v>
      </c>
      <c r="B26" s="8">
        <f>L26*0.25</f>
        <v>2305.75</v>
      </c>
      <c r="C26" s="8"/>
      <c r="D26" s="8">
        <f>L26*0.333333</f>
        <v>3074.3302589999998</v>
      </c>
      <c r="E26" s="8"/>
      <c r="F26" s="8">
        <f>L26*0.5</f>
        <v>4611.5</v>
      </c>
      <c r="G26" s="8"/>
      <c r="H26" s="8">
        <f>L26*0.666666</f>
        <v>6148.6605179999997</v>
      </c>
      <c r="I26" s="8"/>
      <c r="J26" s="8">
        <f>L26*0.75</f>
        <v>6917.25</v>
      </c>
      <c r="K26" s="8"/>
      <c r="L26" s="8">
        <v>9223</v>
      </c>
      <c r="M26" s="4"/>
    </row>
    <row r="27" spans="1:14" x14ac:dyDescent="0.2">
      <c r="A27" s="4" t="s">
        <v>50</v>
      </c>
      <c r="B27" s="8">
        <f>L27*0.25</f>
        <v>1083.75</v>
      </c>
      <c r="C27" s="8"/>
      <c r="D27" s="8">
        <f>L27*0.33333</f>
        <v>1444.9855500000001</v>
      </c>
      <c r="E27" s="8"/>
      <c r="F27" s="8">
        <f>L27*0.5</f>
        <v>2167.5</v>
      </c>
      <c r="G27" s="8"/>
      <c r="H27" s="8">
        <f>L27*0.666666</f>
        <v>2889.9971099999998</v>
      </c>
      <c r="I27" s="8"/>
      <c r="J27" s="8">
        <f>L27*0.75</f>
        <v>3251.25</v>
      </c>
      <c r="K27" s="8"/>
      <c r="L27" s="8">
        <f>8500*0.51</f>
        <v>4335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f>((B23+B25+B26)*35/10)*0.195</f>
        <v>7365.3693750000002</v>
      </c>
      <c r="C29" s="8"/>
      <c r="D29" s="8">
        <f>((D23+D25+D26)*35/13.33333)*0.195</f>
        <v>7365.3643969717232</v>
      </c>
      <c r="E29" s="8"/>
      <c r="F29" s="8">
        <f>((F23+F25+F26)*35/20)*0.195</f>
        <v>7365.3693750000002</v>
      </c>
      <c r="G29" s="8"/>
      <c r="H29" s="8">
        <f>((H23+H25+H26)*35/26.66666)*0.195</f>
        <v>7365.3685720982685</v>
      </c>
      <c r="I29" s="8"/>
      <c r="J29" s="20">
        <f>((J23+J25+J26)*35/30)*0.195</f>
        <v>7365.3693750000002</v>
      </c>
      <c r="K29" s="8"/>
      <c r="L29" s="20">
        <f>(L23+L25+L26)*0.195</f>
        <v>8417.5650000000005</v>
      </c>
      <c r="M29" s="4"/>
    </row>
    <row r="30" spans="1:14" x14ac:dyDescent="0.2">
      <c r="A30" s="4" t="s">
        <v>28</v>
      </c>
      <c r="B30" s="11">
        <f>(13225*0.12)</f>
        <v>1587</v>
      </c>
      <c r="C30" s="8"/>
      <c r="D30" s="11">
        <f>((D23+D25+D26)*0.12)</f>
        <v>1726.6784013199999</v>
      </c>
      <c r="E30" s="8"/>
      <c r="F30" s="11">
        <f>((F23+F25+F26)*0.12)</f>
        <v>2590.02</v>
      </c>
      <c r="G30" s="8"/>
      <c r="H30" s="11">
        <f>((H23+H25+H26)*0.12)</f>
        <v>3453.3587602080001</v>
      </c>
      <c r="I30" s="8"/>
      <c r="J30" s="11">
        <f>((J23+J25+J26)*0.12)</f>
        <v>3885.0299999999997</v>
      </c>
      <c r="K30" s="8"/>
      <c r="L30" s="11">
        <f>((L23+L25)+L26)*0.12</f>
        <v>5180.04</v>
      </c>
      <c r="M30" s="4"/>
    </row>
    <row r="31" spans="1:14" ht="20.25" customHeight="1" x14ac:dyDescent="0.2">
      <c r="A31" s="4" t="s">
        <v>29</v>
      </c>
      <c r="B31" s="8">
        <f>SUM(B23:B30)</f>
        <v>22596.241975000001</v>
      </c>
      <c r="C31" s="8"/>
      <c r="D31" s="8">
        <f>SUM(D23:D30)</f>
        <v>26950.510877408258</v>
      </c>
      <c r="E31" s="8"/>
      <c r="F31" s="8">
        <f>SUM(F23:F30)</f>
        <v>36243.134574999996</v>
      </c>
      <c r="G31" s="8"/>
      <c r="H31" s="8">
        <f>SUM(H23:H30)</f>
        <v>45535.706975096349</v>
      </c>
      <c r="I31" s="8"/>
      <c r="J31" s="8">
        <f>SUM(J23:J30)</f>
        <v>50182.017175000001</v>
      </c>
      <c r="K31" s="8"/>
      <c r="L31" s="8">
        <f>SUM(L23:L30)</f>
        <v>65173.095400000006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53</v>
      </c>
    </row>
    <row r="34" spans="1:13" ht="12.75" customHeight="1" x14ac:dyDescent="0.2">
      <c r="A34" s="14" t="s">
        <v>54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1" topLeftCell="B1" activePane="topRight" state="frozen"/>
      <selection activeCell="A9" sqref="A9"/>
      <selection pane="topRight" activeCell="H6" sqref="H6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55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7426</v>
      </c>
      <c r="C5" s="8"/>
      <c r="D5" s="8">
        <f>L5/3</f>
        <v>9901.3333333333339</v>
      </c>
      <c r="E5" s="8"/>
      <c r="F5" s="8">
        <f>L5/2</f>
        <v>14852</v>
      </c>
      <c r="G5" s="8"/>
      <c r="H5" s="8">
        <f>L5*2/3</f>
        <v>19802.666666666668</v>
      </c>
      <c r="I5" s="8"/>
      <c r="J5" s="8">
        <f>L5*0.75</f>
        <v>22278</v>
      </c>
      <c r="K5" s="8"/>
      <c r="L5" s="8">
        <v>29704</v>
      </c>
      <c r="M5" s="9"/>
    </row>
    <row r="6" spans="1:15" x14ac:dyDescent="0.2">
      <c r="A6" s="4" t="s">
        <v>10</v>
      </c>
      <c r="B6" s="8">
        <f>(B5+B8+B7)*0.0828</f>
        <v>1173.7728</v>
      </c>
      <c r="C6" s="8"/>
      <c r="D6" s="8">
        <f>(D5+D8+D7)*0.0828</f>
        <v>1399.429572</v>
      </c>
      <c r="E6" s="8"/>
      <c r="F6" s="8">
        <f>(F5+F8+F7)*0.0828</f>
        <v>1850.7456</v>
      </c>
      <c r="G6" s="8"/>
      <c r="H6" s="8">
        <f>(H5+H8+H7)*0.0828</f>
        <v>2302.0606344000003</v>
      </c>
      <c r="I6" s="8"/>
      <c r="J6" s="8">
        <f>(J5+J8+J7)*0.0828</f>
        <v>2527.7183999999997</v>
      </c>
      <c r="K6" s="8"/>
      <c r="L6" s="8">
        <f>(L5+L8+L7)*0.0828</f>
        <v>3204.6911999999998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5" x14ac:dyDescent="0.2">
      <c r="A10" s="4" t="s">
        <v>56</v>
      </c>
      <c r="B10" s="8">
        <f>L10*0.25</f>
        <v>1062.5</v>
      </c>
      <c r="C10" s="8"/>
      <c r="D10" s="8">
        <f>L10*0.33333</f>
        <v>1416.6525000000001</v>
      </c>
      <c r="E10" s="8"/>
      <c r="F10" s="8">
        <f>L10*0.5</f>
        <v>2125</v>
      </c>
      <c r="G10" s="8"/>
      <c r="H10" s="8">
        <f>L10*0.666666</f>
        <v>2833.3305</v>
      </c>
      <c r="I10" s="8"/>
      <c r="J10" s="8">
        <f>L10*0.75</f>
        <v>3187.5</v>
      </c>
      <c r="K10" s="8"/>
      <c r="L10" s="8">
        <f>8500*0.5</f>
        <v>4250</v>
      </c>
      <c r="M10" s="4" t="s">
        <v>16</v>
      </c>
    </row>
    <row r="11" spans="1:15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5" x14ac:dyDescent="0.2">
      <c r="A12" s="4" t="s">
        <v>18</v>
      </c>
      <c r="B12" s="8">
        <f>(((B5+B7)*1.3)*35/10)*0.195</f>
        <v>7254.1560000000009</v>
      </c>
      <c r="C12" s="8"/>
      <c r="D12" s="8">
        <f>(((D5+D7)*1.3)*35/13.33333)*0.195</f>
        <v>7254.1511591627905</v>
      </c>
      <c r="E12" s="8"/>
      <c r="F12" s="8">
        <f>(((F5+F7)*1.3)*35/20)*0.195</f>
        <v>7254.1560000000009</v>
      </c>
      <c r="G12" s="8"/>
      <c r="H12" s="8">
        <f>(((H5+H7)*1.3)*35/26.66666)*0.195</f>
        <v>7254.1571481017872</v>
      </c>
      <c r="I12" s="8"/>
      <c r="J12" s="8">
        <f>(((J5+J7)*1.3)*35/30)*0.195</f>
        <v>7254.1560000000009</v>
      </c>
      <c r="K12" s="8"/>
      <c r="L12" s="8">
        <f>((L5+L7)*1.3)*0.195</f>
        <v>8290.4640000000018</v>
      </c>
      <c r="M12" s="4"/>
      <c r="O12">
        <f>29575*0.19</f>
        <v>5619.25</v>
      </c>
    </row>
    <row r="13" spans="1:15" x14ac:dyDescent="0.2">
      <c r="A13" s="4" t="s">
        <v>19</v>
      </c>
      <c r="B13" s="11">
        <f>13050*0.12</f>
        <v>1566</v>
      </c>
      <c r="C13" s="8"/>
      <c r="D13" s="11">
        <f>((D5+D7)*0.3+D5+D7)*0.12</f>
        <v>1700.6064399999998</v>
      </c>
      <c r="E13" s="8"/>
      <c r="F13" s="11">
        <f>((F5+F7)*0.3+F5+F7)*0.12</f>
        <v>2550.9119999999998</v>
      </c>
      <c r="G13" s="8"/>
      <c r="H13" s="11">
        <f>((H5+H7)*0.3+H5+H7)*0.12</f>
        <v>3401.2156879999998</v>
      </c>
      <c r="I13" s="8"/>
      <c r="J13" s="11">
        <f>((J5+J7)*0.3+J5+J7)*0.12</f>
        <v>3826.3679999999999</v>
      </c>
      <c r="K13" s="8"/>
      <c r="L13" s="11">
        <f>((L5+L7)*0.3+L5+L7)*0.12</f>
        <v>5101.8239999999996</v>
      </c>
      <c r="M13" s="4"/>
    </row>
    <row r="14" spans="1:15" ht="20.25" customHeight="1" x14ac:dyDescent="0.2">
      <c r="A14" s="4" t="s">
        <v>20</v>
      </c>
      <c r="B14" s="8">
        <f>SUM(B5:B13)-B8</f>
        <v>20732.428800000002</v>
      </c>
      <c r="C14" s="8"/>
      <c r="D14" s="8">
        <f>SUM(D5:D13)-D8</f>
        <v>24172.163004496124</v>
      </c>
      <c r="E14" s="8"/>
      <c r="F14" s="8">
        <f>SUM(F5:F13)-F8</f>
        <v>31632.813599999994</v>
      </c>
      <c r="G14" s="8"/>
      <c r="H14" s="8">
        <f>SUM(H5:H13)-H8</f>
        <v>39093.428637168457</v>
      </c>
      <c r="I14" s="8"/>
      <c r="J14" s="8">
        <f>SUM(J5:J13)-J8</f>
        <v>42823.742400000003</v>
      </c>
      <c r="K14" s="8"/>
      <c r="L14" s="8">
        <f>SUM(L5:L13)-L8</f>
        <v>55050.979200000002</v>
      </c>
      <c r="M14" s="4"/>
    </row>
    <row r="15" spans="1:15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51</v>
      </c>
    </row>
    <row r="18" spans="1:14" ht="13.5" customHeight="1" x14ac:dyDescent="0.2">
      <c r="A18" s="14" t="s">
        <v>57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20.25" customHeight="1" x14ac:dyDescent="0.2">
      <c r="A21" s="5" t="s">
        <v>55</v>
      </c>
      <c r="B21" s="5" t="s">
        <v>33</v>
      </c>
      <c r="C21" s="5"/>
      <c r="D21" s="5" t="s">
        <v>34</v>
      </c>
      <c r="E21" s="5"/>
      <c r="F21" s="5" t="s">
        <v>35</v>
      </c>
      <c r="G21" s="5"/>
      <c r="H21" s="5" t="s">
        <v>36</v>
      </c>
      <c r="I21" s="5"/>
      <c r="J21" s="5" t="s">
        <v>37</v>
      </c>
      <c r="K21" s="5"/>
      <c r="L21" s="5" t="s">
        <v>7</v>
      </c>
      <c r="M21" s="4"/>
    </row>
    <row r="22" spans="1:14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7426</v>
      </c>
      <c r="C23" s="8"/>
      <c r="D23" s="8">
        <f>L23*0.333333</f>
        <v>9901.3234319999992</v>
      </c>
      <c r="E23" s="8"/>
      <c r="F23" s="8">
        <f>L23/2</f>
        <v>14852</v>
      </c>
      <c r="G23" s="8"/>
      <c r="H23" s="8">
        <f>L23*0.6666666</f>
        <v>19802.664686399999</v>
      </c>
      <c r="I23" s="8"/>
      <c r="J23" s="8">
        <f>L23*0.75</f>
        <v>22278</v>
      </c>
      <c r="K23" s="8"/>
      <c r="L23" s="8">
        <v>29704</v>
      </c>
      <c r="M23" s="4"/>
      <c r="N23" s="19"/>
    </row>
    <row r="24" spans="1:14" x14ac:dyDescent="0.2">
      <c r="A24" s="4" t="s">
        <v>10</v>
      </c>
      <c r="B24" s="8">
        <f>(B23+B26+B25)*0.0828</f>
        <v>861.43049999999994</v>
      </c>
      <c r="C24" s="8"/>
      <c r="D24" s="8">
        <f>(D23+D26+D25)*0.0828</f>
        <v>1148.5729342259999</v>
      </c>
      <c r="E24" s="8"/>
      <c r="F24" s="8">
        <f>(F23+F26+F25)*0.0828</f>
        <v>1722.8609999999999</v>
      </c>
      <c r="G24" s="8"/>
      <c r="H24" s="8">
        <f>(H23+H26+H25)*0.0828</f>
        <v>2297.1471785467202</v>
      </c>
      <c r="I24" s="8"/>
      <c r="J24" s="8">
        <f>(J23+J26+J25)*0.0828</f>
        <v>2584.2914999999998</v>
      </c>
      <c r="K24" s="8"/>
      <c r="L24" s="8">
        <f>(L23+L26+L25)*0.0828</f>
        <v>3445.7219999999998</v>
      </c>
      <c r="M24" s="4"/>
    </row>
    <row r="25" spans="1:14" x14ac:dyDescent="0.2">
      <c r="A25" s="4" t="s">
        <v>11</v>
      </c>
      <c r="B25" s="8">
        <f>L25*0.25</f>
        <v>750</v>
      </c>
      <c r="C25" s="8"/>
      <c r="D25" s="8">
        <f>L25/3</f>
        <v>1000</v>
      </c>
      <c r="E25" s="8"/>
      <c r="F25" s="8">
        <f>L25*0.5</f>
        <v>1500</v>
      </c>
      <c r="G25" s="8"/>
      <c r="H25" s="8">
        <f>L25*0.666666</f>
        <v>1999.998</v>
      </c>
      <c r="I25" s="8"/>
      <c r="J25" s="8">
        <f>L25*0.75</f>
        <v>2250</v>
      </c>
      <c r="K25" s="8"/>
      <c r="L25" s="8">
        <v>3000</v>
      </c>
      <c r="M25" s="4"/>
    </row>
    <row r="26" spans="1:14" x14ac:dyDescent="0.2">
      <c r="A26" s="4" t="s">
        <v>26</v>
      </c>
      <c r="B26" s="8">
        <f>L26*0.25</f>
        <v>2227.75</v>
      </c>
      <c r="C26" s="8"/>
      <c r="D26" s="8">
        <f>L26*0.333333</f>
        <v>2970.330363</v>
      </c>
      <c r="E26" s="8"/>
      <c r="F26" s="8">
        <f>L26*0.5</f>
        <v>4455.5</v>
      </c>
      <c r="G26" s="8"/>
      <c r="H26" s="8">
        <f>L26*0.666666</f>
        <v>5940.6607260000001</v>
      </c>
      <c r="I26" s="8"/>
      <c r="J26" s="8">
        <f>L26*0.75</f>
        <v>6683.25</v>
      </c>
      <c r="K26" s="8"/>
      <c r="L26" s="8">
        <v>8911</v>
      </c>
      <c r="M26" s="4"/>
    </row>
    <row r="27" spans="1:14" x14ac:dyDescent="0.2">
      <c r="A27" s="4" t="s">
        <v>56</v>
      </c>
      <c r="B27" s="8">
        <f>L27*0.25</f>
        <v>1062.5</v>
      </c>
      <c r="C27" s="8"/>
      <c r="D27" s="8">
        <f>L27*0.33333</f>
        <v>1416.6525000000001</v>
      </c>
      <c r="E27" s="8"/>
      <c r="F27" s="8">
        <f>L27*0.5</f>
        <v>2125</v>
      </c>
      <c r="G27" s="8"/>
      <c r="H27" s="8">
        <f>L27*0.666666</f>
        <v>2833.3305</v>
      </c>
      <c r="I27" s="8"/>
      <c r="J27" s="8">
        <f>L27*0.75</f>
        <v>3187.5</v>
      </c>
      <c r="K27" s="8"/>
      <c r="L27" s="8">
        <f>8500*0.5</f>
        <v>4250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f>((B23+B25+B26)*35/10)*0.195</f>
        <v>7100.5593749999998</v>
      </c>
      <c r="C29" s="8"/>
      <c r="D29" s="8">
        <f>((D23+D25+D26)*35/13.33333)*0.195</f>
        <v>7100.5545614542643</v>
      </c>
      <c r="E29" s="8"/>
      <c r="F29" s="8">
        <f>((F23+F25+F26)*35/20)*0.195</f>
        <v>7100.5593749999998</v>
      </c>
      <c r="G29" s="8"/>
      <c r="H29" s="8">
        <f>((H23+H25+H26)*35/26.66666)*0.195</f>
        <v>7100.5586110007789</v>
      </c>
      <c r="I29" s="8"/>
      <c r="J29" s="20">
        <f>((J23+J25+J26)*35/30)*0.195</f>
        <v>7100.5593749999998</v>
      </c>
      <c r="K29" s="8"/>
      <c r="L29" s="20">
        <f>(L23+L25+L26)*0.195</f>
        <v>8114.9250000000002</v>
      </c>
      <c r="M29" s="4"/>
    </row>
    <row r="30" spans="1:14" x14ac:dyDescent="0.2">
      <c r="A30" s="4" t="s">
        <v>28</v>
      </c>
      <c r="B30" s="11">
        <f>(13050*0.12)</f>
        <v>1566</v>
      </c>
      <c r="C30" s="8"/>
      <c r="D30" s="11">
        <f>((D23+D25+D26)*0.12)</f>
        <v>1664.5984553999997</v>
      </c>
      <c r="E30" s="8"/>
      <c r="F30" s="11">
        <f>((F23+F25+F26)*0.12)</f>
        <v>2496.9</v>
      </c>
      <c r="G30" s="8"/>
      <c r="H30" s="11">
        <f>((H23+H25+H26)*0.12)</f>
        <v>3329.1988094879998</v>
      </c>
      <c r="I30" s="8"/>
      <c r="J30" s="11">
        <f>((J23+J25+J26)*0.12)</f>
        <v>3745.35</v>
      </c>
      <c r="K30" s="8"/>
      <c r="L30" s="11">
        <f>((L23+L25)+L26)*0.12</f>
        <v>4993.8</v>
      </c>
      <c r="M30" s="4"/>
    </row>
    <row r="31" spans="1:14" ht="20.25" customHeight="1" x14ac:dyDescent="0.2">
      <c r="A31" s="4" t="s">
        <v>29</v>
      </c>
      <c r="B31" s="8">
        <f>SUM(B23:B30)</f>
        <v>21994.239874999999</v>
      </c>
      <c r="C31" s="8"/>
      <c r="D31" s="8">
        <f>SUM(D23:D30)</f>
        <v>26202.032246080264</v>
      </c>
      <c r="E31" s="8"/>
      <c r="F31" s="8">
        <f>SUM(F23:F30)</f>
        <v>35252.820375000003</v>
      </c>
      <c r="G31" s="8"/>
      <c r="H31" s="8">
        <f>SUM(H23:H30)</f>
        <v>44303.558511435505</v>
      </c>
      <c r="I31" s="8"/>
      <c r="J31" s="8">
        <f>SUM(J23:J30)</f>
        <v>48828.950874999995</v>
      </c>
      <c r="K31" s="8"/>
      <c r="L31" s="8">
        <f>SUM(L23:L30)</f>
        <v>63419.447000000007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53</v>
      </c>
    </row>
    <row r="34" spans="1:13" ht="12.75" customHeight="1" x14ac:dyDescent="0.2">
      <c r="A34" s="14" t="s">
        <v>58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6" workbookViewId="0">
      <pane xSplit="1" topLeftCell="B1" activePane="topRight" state="frozen"/>
      <selection activeCell="A6" sqref="A6"/>
      <selection pane="topRight" activeCell="L31" sqref="L31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59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7426</v>
      </c>
      <c r="C5" s="8"/>
      <c r="D5" s="8">
        <f>L5/3</f>
        <v>9901.3333333333339</v>
      </c>
      <c r="E5" s="8"/>
      <c r="F5" s="8">
        <f>L5/2</f>
        <v>14852</v>
      </c>
      <c r="G5" s="8"/>
      <c r="H5" s="8">
        <f>L5*2/3</f>
        <v>19802.666666666668</v>
      </c>
      <c r="I5" s="8"/>
      <c r="J5" s="8">
        <f>L5*0.75</f>
        <v>22278</v>
      </c>
      <c r="K5" s="8"/>
      <c r="L5" s="8">
        <v>29704</v>
      </c>
      <c r="M5" s="9"/>
    </row>
    <row r="6" spans="1:15" x14ac:dyDescent="0.2">
      <c r="A6" s="4" t="s">
        <v>10</v>
      </c>
      <c r="B6" s="8">
        <f>(B5+B8+B7)*0.0828</f>
        <v>1173.7728</v>
      </c>
      <c r="C6" s="8"/>
      <c r="D6" s="8">
        <f>(D5+D8+D7)*0.0828</f>
        <v>1399.429572</v>
      </c>
      <c r="E6" s="8"/>
      <c r="F6" s="8">
        <f>(F5+F8+F7)*0.0828</f>
        <v>1850.7456</v>
      </c>
      <c r="G6" s="8"/>
      <c r="H6" s="8">
        <f>(H5+H8+H7)*0.0828</f>
        <v>2302.0606344000003</v>
      </c>
      <c r="I6" s="8"/>
      <c r="J6" s="8">
        <f>(J5+J8+J7)*0.0828</f>
        <v>2527.7183999999997</v>
      </c>
      <c r="K6" s="8"/>
      <c r="L6" s="8">
        <f>(L5+L8+L7)*0.0828</f>
        <v>3204.6911999999998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14</v>
      </c>
      <c r="B9" s="8">
        <v>500</v>
      </c>
      <c r="C9" s="8"/>
      <c r="D9" s="8">
        <v>500</v>
      </c>
      <c r="E9" s="8"/>
      <c r="F9" s="8">
        <v>500</v>
      </c>
      <c r="G9" s="8"/>
      <c r="H9" s="8">
        <v>500</v>
      </c>
      <c r="I9" s="8"/>
      <c r="J9" s="8">
        <v>500</v>
      </c>
      <c r="K9" s="8"/>
      <c r="L9" s="8">
        <v>500</v>
      </c>
      <c r="M9" s="4"/>
    </row>
    <row r="10" spans="1:15" x14ac:dyDescent="0.2">
      <c r="A10" s="4" t="s">
        <v>56</v>
      </c>
      <c r="B10" s="8">
        <f>L10*0.25</f>
        <v>1168.75</v>
      </c>
      <c r="C10" s="8"/>
      <c r="D10" s="8">
        <f>L10*0.33333</f>
        <v>1558.3177500000002</v>
      </c>
      <c r="E10" s="8"/>
      <c r="F10" s="8">
        <f>L10*0.5</f>
        <v>2337.5</v>
      </c>
      <c r="G10" s="8"/>
      <c r="H10" s="8">
        <f>L10*0.666666</f>
        <v>3116.6635499999998</v>
      </c>
      <c r="I10" s="8"/>
      <c r="J10" s="8">
        <f>L10*0.75</f>
        <v>3506.25</v>
      </c>
      <c r="K10" s="8"/>
      <c r="L10" s="8">
        <f>8500*0.55</f>
        <v>4675</v>
      </c>
      <c r="M10" s="4" t="s">
        <v>16</v>
      </c>
    </row>
    <row r="11" spans="1:15" x14ac:dyDescent="0.2">
      <c r="A11" s="4" t="s">
        <v>17</v>
      </c>
      <c r="B11" s="8">
        <v>1000</v>
      </c>
      <c r="C11" s="8"/>
      <c r="D11" s="8">
        <v>1000</v>
      </c>
      <c r="E11" s="8"/>
      <c r="F11" s="8">
        <v>1000</v>
      </c>
      <c r="G11" s="8"/>
      <c r="H11" s="8">
        <v>1000</v>
      </c>
      <c r="I11" s="8"/>
      <c r="J11" s="8">
        <v>1000</v>
      </c>
      <c r="K11" s="8"/>
      <c r="L11" s="8">
        <v>1000</v>
      </c>
      <c r="M11" s="4"/>
    </row>
    <row r="12" spans="1:15" x14ac:dyDescent="0.2">
      <c r="A12" s="4" t="s">
        <v>18</v>
      </c>
      <c r="B12" s="8">
        <f>(((B5+B7)*1.3)*35/10)*0.195</f>
        <v>7254.1560000000009</v>
      </c>
      <c r="C12" s="8"/>
      <c r="D12" s="8">
        <f>(((D5+D7)*1.3)*35/13.33333)*0.195</f>
        <v>7254.1511591627905</v>
      </c>
      <c r="E12" s="8"/>
      <c r="F12" s="8">
        <f>(((F5+F7)*1.3)*35/20)*0.195</f>
        <v>7254.1560000000009</v>
      </c>
      <c r="G12" s="8"/>
      <c r="H12" s="8">
        <f>(((H5+H7)*1.3)*35/26.66666)*0.195</f>
        <v>7254.1571481017872</v>
      </c>
      <c r="I12" s="8"/>
      <c r="J12" s="8">
        <f>(((J5+J7)*1.3)*35/30)*0.195</f>
        <v>7254.1560000000009</v>
      </c>
      <c r="K12" s="8"/>
      <c r="L12" s="8">
        <f>((L5+L7)*1.3)*0.195</f>
        <v>8290.4640000000018</v>
      </c>
      <c r="M12" s="4"/>
      <c r="O12">
        <f>29575*0.19</f>
        <v>5619.25</v>
      </c>
    </row>
    <row r="13" spans="1:15" x14ac:dyDescent="0.2">
      <c r="A13" s="4" t="s">
        <v>19</v>
      </c>
      <c r="B13" s="11">
        <f>12700*0.12</f>
        <v>1524</v>
      </c>
      <c r="C13" s="8"/>
      <c r="D13" s="11">
        <f>((D5+D7)*0.3+D5+D7)*0.12</f>
        <v>1700.6064399999998</v>
      </c>
      <c r="E13" s="8"/>
      <c r="F13" s="11">
        <f>((F5+F7)*0.3+F5+F7)*0.12</f>
        <v>2550.9119999999998</v>
      </c>
      <c r="G13" s="8"/>
      <c r="H13" s="11">
        <f>((H5+H7)*0.3+H5+H7)*0.12</f>
        <v>3401.2156879999998</v>
      </c>
      <c r="I13" s="8"/>
      <c r="J13" s="11">
        <f>((J5+J7)*0.3+J5+J7)*0.12</f>
        <v>3826.3679999999999</v>
      </c>
      <c r="K13" s="8"/>
      <c r="L13" s="11">
        <f>((L5+L7)*0.3+L5+L7)*0.12</f>
        <v>5101.8239999999996</v>
      </c>
      <c r="M13" s="4"/>
    </row>
    <row r="14" spans="1:15" ht="20.25" customHeight="1" x14ac:dyDescent="0.2">
      <c r="A14" s="4" t="s">
        <v>20</v>
      </c>
      <c r="B14" s="8">
        <f>SUM(B5:B13)-B8</f>
        <v>20796.678800000002</v>
      </c>
      <c r="C14" s="8"/>
      <c r="D14" s="8">
        <f>SUM(D5:D13)-D8</f>
        <v>24313.828254496126</v>
      </c>
      <c r="E14" s="8"/>
      <c r="F14" s="8">
        <f>SUM(F5:F13)-F8</f>
        <v>31845.313599999994</v>
      </c>
      <c r="G14" s="8"/>
      <c r="H14" s="8">
        <f>SUM(H5:H13)-H8</f>
        <v>39376.761687168451</v>
      </c>
      <c r="I14" s="8"/>
      <c r="J14" s="8">
        <f>SUM(J5:J13)-J8</f>
        <v>43142.492400000003</v>
      </c>
      <c r="K14" s="8"/>
      <c r="L14" s="8">
        <f>SUM(L5:L13)-L8</f>
        <v>55475.979200000002</v>
      </c>
      <c r="M14" s="4"/>
    </row>
    <row r="15" spans="1:15" ht="6.7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</row>
    <row r="16" spans="1:15" ht="19.5" customHeight="1" x14ac:dyDescent="0.2">
      <c r="A16" s="12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15.75" customHeight="1" x14ac:dyDescent="0.2">
      <c r="A17" s="13" t="s">
        <v>51</v>
      </c>
    </row>
    <row r="18" spans="1:14" ht="13.5" customHeight="1" x14ac:dyDescent="0.2">
      <c r="A18" s="14" t="s">
        <v>60</v>
      </c>
      <c r="B18" s="13"/>
      <c r="C18" s="13"/>
      <c r="D18" s="13"/>
      <c r="E18" s="13"/>
      <c r="F18" s="13"/>
      <c r="G18" s="15"/>
      <c r="H18" s="15"/>
      <c r="I18" s="15"/>
      <c r="J18" s="16"/>
      <c r="K18" s="15"/>
      <c r="L18" s="15"/>
      <c r="M18" s="4"/>
    </row>
    <row r="19" spans="1:14" ht="16.5" customHeight="1" x14ac:dyDescent="0.2">
      <c r="A19" s="17" t="s">
        <v>24</v>
      </c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16.5" customHeight="1" x14ac:dyDescent="0.2">
      <c r="A20" s="18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</row>
    <row r="21" spans="1:14" ht="20.25" customHeight="1" x14ac:dyDescent="0.2">
      <c r="A21" s="5" t="s">
        <v>59</v>
      </c>
      <c r="B21" s="5" t="s">
        <v>33</v>
      </c>
      <c r="C21" s="5"/>
      <c r="D21" s="5" t="s">
        <v>34</v>
      </c>
      <c r="E21" s="5"/>
      <c r="F21" s="5" t="s">
        <v>35</v>
      </c>
      <c r="G21" s="5"/>
      <c r="H21" s="5" t="s">
        <v>36</v>
      </c>
      <c r="I21" s="5"/>
      <c r="J21" s="5" t="s">
        <v>37</v>
      </c>
      <c r="K21" s="5"/>
      <c r="L21" s="5" t="s">
        <v>7</v>
      </c>
      <c r="M21" s="4"/>
    </row>
    <row r="22" spans="1:14" x14ac:dyDescent="0.2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/>
    </row>
    <row r="23" spans="1:14" ht="16.5" customHeight="1" x14ac:dyDescent="0.2">
      <c r="A23" s="4" t="s">
        <v>9</v>
      </c>
      <c r="B23" s="8">
        <f>L23*0.25</f>
        <v>7426</v>
      </c>
      <c r="C23" s="8"/>
      <c r="D23" s="8">
        <f>L23*0.333333</f>
        <v>9901.3234319999992</v>
      </c>
      <c r="E23" s="8"/>
      <c r="F23" s="8">
        <f>L23/2</f>
        <v>14852</v>
      </c>
      <c r="G23" s="8"/>
      <c r="H23" s="8">
        <f>L23*0.6666666</f>
        <v>19802.664686399999</v>
      </c>
      <c r="I23" s="8"/>
      <c r="J23" s="8">
        <f>L23*0.75</f>
        <v>22278</v>
      </c>
      <c r="K23" s="8"/>
      <c r="L23" s="8">
        <v>29704</v>
      </c>
      <c r="M23" s="4"/>
      <c r="N23" s="19"/>
    </row>
    <row r="24" spans="1:14" x14ac:dyDescent="0.2">
      <c r="A24" s="4" t="s">
        <v>10</v>
      </c>
      <c r="B24" s="8">
        <f>(B23+B26+B25)*0.0828</f>
        <v>861.43049999999994</v>
      </c>
      <c r="C24" s="8"/>
      <c r="D24" s="8">
        <f>(D23+D26+D25)*0.0828</f>
        <v>1148.5729342259999</v>
      </c>
      <c r="E24" s="8"/>
      <c r="F24" s="8">
        <f>(F23+F26+F25)*0.0828</f>
        <v>1722.8609999999999</v>
      </c>
      <c r="G24" s="8"/>
      <c r="H24" s="8">
        <f>(H23+H26+H25)*0.0828</f>
        <v>2297.1471785467202</v>
      </c>
      <c r="I24" s="8"/>
      <c r="J24" s="8">
        <f>(J23+J26+J25)*0.0828</f>
        <v>2584.2914999999998</v>
      </c>
      <c r="K24" s="8"/>
      <c r="L24" s="8">
        <f>(L23+L26+L25)*0.0828</f>
        <v>3445.7219999999998</v>
      </c>
      <c r="M24" s="4"/>
    </row>
    <row r="25" spans="1:14" x14ac:dyDescent="0.2">
      <c r="A25" s="4" t="s">
        <v>11</v>
      </c>
      <c r="B25" s="8">
        <f>L25*0.25</f>
        <v>750</v>
      </c>
      <c r="C25" s="8"/>
      <c r="D25" s="8">
        <f>L25/3</f>
        <v>1000</v>
      </c>
      <c r="E25" s="8"/>
      <c r="F25" s="8">
        <f>L25*0.5</f>
        <v>1500</v>
      </c>
      <c r="G25" s="8"/>
      <c r="H25" s="8">
        <f>L25*0.666666</f>
        <v>1999.998</v>
      </c>
      <c r="I25" s="8"/>
      <c r="J25" s="8">
        <f>L25*0.75</f>
        <v>2250</v>
      </c>
      <c r="K25" s="8"/>
      <c r="L25" s="8">
        <v>3000</v>
      </c>
      <c r="M25" s="4"/>
    </row>
    <row r="26" spans="1:14" x14ac:dyDescent="0.2">
      <c r="A26" s="4" t="s">
        <v>26</v>
      </c>
      <c r="B26" s="8">
        <f>L26*0.25</f>
        <v>2227.75</v>
      </c>
      <c r="C26" s="8"/>
      <c r="D26" s="8">
        <f>L26*0.333333</f>
        <v>2970.330363</v>
      </c>
      <c r="E26" s="8"/>
      <c r="F26" s="8">
        <f>L26*0.5</f>
        <v>4455.5</v>
      </c>
      <c r="G26" s="8"/>
      <c r="H26" s="8">
        <f>L26*0.666666</f>
        <v>5940.6607260000001</v>
      </c>
      <c r="I26" s="8"/>
      <c r="J26" s="8">
        <f>L26*0.75</f>
        <v>6683.25</v>
      </c>
      <c r="K26" s="8"/>
      <c r="L26" s="8">
        <v>8911</v>
      </c>
      <c r="M26" s="4"/>
    </row>
    <row r="27" spans="1:14" x14ac:dyDescent="0.2">
      <c r="A27" s="4" t="s">
        <v>61</v>
      </c>
      <c r="B27" s="8">
        <f>L27*0.25</f>
        <v>1168.75</v>
      </c>
      <c r="C27" s="8"/>
      <c r="D27" s="8">
        <f>L27*0.33333</f>
        <v>1558.3177500000002</v>
      </c>
      <c r="E27" s="8"/>
      <c r="F27" s="8">
        <f>L27*0.5</f>
        <v>2337.5</v>
      </c>
      <c r="G27" s="8"/>
      <c r="H27" s="8">
        <f>L27*0.666666</f>
        <v>3116.6635499999998</v>
      </c>
      <c r="I27" s="8"/>
      <c r="J27" s="8">
        <f>L27*0.75</f>
        <v>3506.25</v>
      </c>
      <c r="K27" s="8"/>
      <c r="L27" s="8">
        <f>8500*0.55</f>
        <v>4675</v>
      </c>
      <c r="M27" s="4" t="s">
        <v>16</v>
      </c>
    </row>
    <row r="28" spans="1:14" x14ac:dyDescent="0.2">
      <c r="A28" s="4" t="s">
        <v>17</v>
      </c>
      <c r="B28" s="8">
        <v>1000</v>
      </c>
      <c r="C28" s="8"/>
      <c r="D28" s="8">
        <v>1000</v>
      </c>
      <c r="E28" s="8"/>
      <c r="F28" s="8">
        <v>1000</v>
      </c>
      <c r="G28" s="8"/>
      <c r="H28" s="8">
        <v>1000</v>
      </c>
      <c r="I28" s="8"/>
      <c r="J28" s="8">
        <v>1000</v>
      </c>
      <c r="K28" s="8"/>
      <c r="L28" s="8">
        <v>1000</v>
      </c>
      <c r="M28" s="4"/>
    </row>
    <row r="29" spans="1:14" x14ac:dyDescent="0.2">
      <c r="A29" s="4" t="s">
        <v>27</v>
      </c>
      <c r="B29" s="8">
        <f>((B23+B25+B26)*35/10)*0.195</f>
        <v>7100.5593749999998</v>
      </c>
      <c r="C29" s="8"/>
      <c r="D29" s="8">
        <f>((D23+D25+D26)*35/13.33333)*0.195</f>
        <v>7100.5545614542643</v>
      </c>
      <c r="E29" s="8"/>
      <c r="F29" s="8">
        <f>((F23+F25+F26)*35/20)*0.195</f>
        <v>7100.5593749999998</v>
      </c>
      <c r="G29" s="8"/>
      <c r="H29" s="8">
        <f>((H23+H25+H26)*35/26.66666)*0.195</f>
        <v>7100.5586110007789</v>
      </c>
      <c r="I29" s="8"/>
      <c r="J29" s="20">
        <f>((J23+J25+J26)*35/30)*0.195</f>
        <v>7100.5593749999998</v>
      </c>
      <c r="K29" s="8"/>
      <c r="L29" s="20">
        <f>(L23+L25+L26)*0.195</f>
        <v>8114.9250000000002</v>
      </c>
      <c r="M29" s="4"/>
    </row>
    <row r="30" spans="1:14" x14ac:dyDescent="0.2">
      <c r="A30" s="4" t="s">
        <v>28</v>
      </c>
      <c r="B30" s="11">
        <f>(12700*0.12)</f>
        <v>1524</v>
      </c>
      <c r="C30" s="8"/>
      <c r="D30" s="11">
        <f>((D23+D25+D26)*0.12)</f>
        <v>1664.5984553999997</v>
      </c>
      <c r="E30" s="8"/>
      <c r="F30" s="11">
        <f>((F23+F25+F26)*0.12)</f>
        <v>2496.9</v>
      </c>
      <c r="G30" s="8"/>
      <c r="H30" s="11">
        <f>((H23+H25+H26)*0.12)</f>
        <v>3329.1988094879998</v>
      </c>
      <c r="I30" s="8"/>
      <c r="J30" s="11">
        <f>((J23+J25+J26)*0.12)</f>
        <v>3745.35</v>
      </c>
      <c r="K30" s="8"/>
      <c r="L30" s="11">
        <f>((L23+L25)+L26)*0.12</f>
        <v>4993.8</v>
      </c>
      <c r="M30" s="4"/>
    </row>
    <row r="31" spans="1:14" ht="20.25" customHeight="1" x14ac:dyDescent="0.2">
      <c r="A31" s="4" t="s">
        <v>29</v>
      </c>
      <c r="B31" s="8">
        <f>SUM(B23:B30)</f>
        <v>22058.489874999999</v>
      </c>
      <c r="C31" s="8"/>
      <c r="D31" s="8">
        <f>SUM(D23:D30)</f>
        <v>26343.697496080265</v>
      </c>
      <c r="E31" s="8"/>
      <c r="F31" s="8">
        <f>SUM(F23:F30)</f>
        <v>35465.320375000003</v>
      </c>
      <c r="G31" s="8"/>
      <c r="H31" s="8">
        <f>SUM(H23:H30)</f>
        <v>44586.891561435499</v>
      </c>
      <c r="I31" s="8"/>
      <c r="J31" s="8">
        <f>SUM(J23:J30)</f>
        <v>49147.700874999995</v>
      </c>
      <c r="K31" s="8"/>
      <c r="L31" s="8">
        <f>SUM(L23:L30)</f>
        <v>63844.447000000007</v>
      </c>
      <c r="M31" s="4"/>
    </row>
    <row r="32" spans="1:14" ht="6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3" ht="12.75" customHeight="1" x14ac:dyDescent="0.2">
      <c r="A33" s="13" t="s">
        <v>53</v>
      </c>
    </row>
    <row r="34" spans="1:13" ht="12.75" customHeight="1" x14ac:dyDescent="0.2">
      <c r="A34" s="14" t="s">
        <v>62</v>
      </c>
      <c r="B34" s="13"/>
      <c r="C34" s="13"/>
      <c r="D34" s="13"/>
      <c r="E34" s="13"/>
      <c r="F34" s="13"/>
      <c r="G34" s="15"/>
      <c r="H34" s="15"/>
      <c r="I34" s="15"/>
      <c r="J34" s="16"/>
      <c r="K34" s="15"/>
      <c r="L34" s="15"/>
      <c r="M34" s="4"/>
    </row>
    <row r="35" spans="1:13" ht="15.75" customHeight="1" x14ac:dyDescent="0.2">
      <c r="A35" s="17" t="s">
        <v>24</v>
      </c>
      <c r="D35" s="19"/>
      <c r="J35" s="19"/>
      <c r="L35" s="20"/>
    </row>
    <row r="36" spans="1:13" x14ac:dyDescent="0.2">
      <c r="B36" s="20"/>
      <c r="D36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" workbookViewId="0">
      <pane xSplit="1" topLeftCell="B1" activePane="topRight" state="frozen"/>
      <selection activeCell="A2" sqref="A2"/>
      <selection pane="topRight" activeCell="L4" sqref="L4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63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502</v>
      </c>
      <c r="C5" s="8"/>
      <c r="D5" s="8">
        <f>L5/3</f>
        <v>669.33333333333337</v>
      </c>
      <c r="E5" s="8"/>
      <c r="F5" s="8">
        <f>L5/2</f>
        <v>1004</v>
      </c>
      <c r="G5" s="8"/>
      <c r="H5" s="8">
        <f>L5*2/3</f>
        <v>1338.6666666666667</v>
      </c>
      <c r="I5" s="8"/>
      <c r="J5" s="8">
        <f>L5*0.75</f>
        <v>1506</v>
      </c>
      <c r="K5" s="8"/>
      <c r="L5" s="8">
        <v>2008</v>
      </c>
      <c r="M5" s="9"/>
    </row>
    <row r="6" spans="1:15" x14ac:dyDescent="0.2">
      <c r="A6" s="4" t="s">
        <v>10</v>
      </c>
      <c r="B6" s="8">
        <f>(B5+B8+B7)*0.0828</f>
        <v>600.46559999999999</v>
      </c>
      <c r="C6" s="8"/>
      <c r="D6" s="8">
        <f>(D5+D8+D7)*0.0828</f>
        <v>635.01997199999994</v>
      </c>
      <c r="E6" s="8"/>
      <c r="F6" s="8">
        <f>(F5+F8+F7)*0.0828</f>
        <v>704.13120000000004</v>
      </c>
      <c r="G6" s="8"/>
      <c r="H6" s="8">
        <f>(H5+H8+H7)*0.0828</f>
        <v>773.2414344</v>
      </c>
      <c r="I6" s="8"/>
      <c r="J6" s="8">
        <f>(J5+J8+J7)*0.0828</f>
        <v>807.79679999999996</v>
      </c>
      <c r="K6" s="8"/>
      <c r="L6" s="8">
        <f>(L5+L8+L7)*0.0828</f>
        <v>911.4624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64</v>
      </c>
      <c r="B9" s="8">
        <f>L9*0.25</f>
        <v>1073.125</v>
      </c>
      <c r="C9" s="8"/>
      <c r="D9" s="8">
        <f>L9*0.33333</f>
        <v>1430.819025</v>
      </c>
      <c r="E9" s="8"/>
      <c r="F9" s="8">
        <f>L9*0.5</f>
        <v>2146.25</v>
      </c>
      <c r="G9" s="8"/>
      <c r="H9" s="8">
        <f>L9*0.666666</f>
        <v>2861.6638050000001</v>
      </c>
      <c r="I9" s="8"/>
      <c r="J9" s="8">
        <f>L9*0.75</f>
        <v>3219.375</v>
      </c>
      <c r="K9" s="8"/>
      <c r="L9" s="8">
        <f>8500*0.505</f>
        <v>4292.5</v>
      </c>
      <c r="M9" s="4" t="s">
        <v>16</v>
      </c>
    </row>
    <row r="10" spans="1:15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5" x14ac:dyDescent="0.2">
      <c r="A11" s="4" t="s">
        <v>18</v>
      </c>
      <c r="B11" s="8">
        <f>(((B5+B7)*1.3)*35/10)*0.195</f>
        <v>1110.8370000000002</v>
      </c>
      <c r="C11" s="8"/>
      <c r="D11" s="8">
        <f>(((D5+D7)*1.3)*35/13.33333)*0.195</f>
        <v>1110.8306233326559</v>
      </c>
      <c r="E11" s="8"/>
      <c r="F11" s="8">
        <f>(((F5+F7)*1.3)*35/20)*0.195</f>
        <v>1110.8370000000002</v>
      </c>
      <c r="G11" s="8"/>
      <c r="H11" s="8">
        <f>(((H5+H7)*1.3)*35/26.66666)*0.195</f>
        <v>1110.8366122716532</v>
      </c>
      <c r="I11" s="8"/>
      <c r="J11" s="8">
        <f>(((J5+J7)*1.3)*35/30)*0.195</f>
        <v>1110.8370000000002</v>
      </c>
      <c r="K11" s="8"/>
      <c r="L11" s="8">
        <f>((L5+L7)*1.3)*0.195</f>
        <v>1269.5280000000002</v>
      </c>
      <c r="M11" s="4"/>
      <c r="O11">
        <f>29575*0.19</f>
        <v>5619.25</v>
      </c>
    </row>
    <row r="12" spans="1:15" x14ac:dyDescent="0.2">
      <c r="A12" s="4" t="s">
        <v>19</v>
      </c>
      <c r="B12" s="11">
        <f>12250*0.12</f>
        <v>1470</v>
      </c>
      <c r="C12" s="8"/>
      <c r="D12" s="11">
        <f>((D5+D7)*0.3+D5+D7)*0.12</f>
        <v>260.41444000000001</v>
      </c>
      <c r="E12" s="8"/>
      <c r="F12" s="11">
        <f>((F5+F7)*0.3+F5+F7)*0.12</f>
        <v>390.62399999999997</v>
      </c>
      <c r="G12" s="8"/>
      <c r="H12" s="11">
        <f>((H5+H7)*0.3+H5+H7)*0.12</f>
        <v>520.83168799999999</v>
      </c>
      <c r="I12" s="8"/>
      <c r="J12" s="11">
        <f>((J5+J7)*0.3+J5+J7)*0.12</f>
        <v>585.93600000000004</v>
      </c>
      <c r="K12" s="8"/>
      <c r="L12" s="11">
        <f>((L5+L7)*0.3+L5+L7)*0.12</f>
        <v>781.24799999999993</v>
      </c>
      <c r="M12" s="4"/>
    </row>
    <row r="13" spans="1:15" ht="20.25" customHeight="1" x14ac:dyDescent="0.2">
      <c r="A13" s="4" t="s">
        <v>20</v>
      </c>
      <c r="B13" s="8">
        <f>SUM(B5:B12)-B8</f>
        <v>6506.4275999999991</v>
      </c>
      <c r="C13" s="8"/>
      <c r="D13" s="8">
        <f>SUM(D5:D12)-D8</f>
        <v>6106.4073936659915</v>
      </c>
      <c r="E13" s="8"/>
      <c r="F13" s="8">
        <f>SUM(F5:F12)-F8</f>
        <v>7855.8421999999991</v>
      </c>
      <c r="G13" s="8"/>
      <c r="H13" s="8">
        <f>SUM(H5:H12)-H8</f>
        <v>9605.2382063383193</v>
      </c>
      <c r="I13" s="8"/>
      <c r="J13" s="8">
        <f>SUM(J5:J12)-J8</f>
        <v>10479.944800000001</v>
      </c>
      <c r="K13" s="8"/>
      <c r="L13" s="8">
        <f>SUM(L5:L12)-L8</f>
        <v>13262.738400000002</v>
      </c>
      <c r="M13" s="4"/>
    </row>
    <row r="14" spans="1:15" ht="6.7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5" ht="19.5" customHeight="1" x14ac:dyDescent="0.2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 customHeight="1" x14ac:dyDescent="0.2">
      <c r="A16" s="13" t="s">
        <v>51</v>
      </c>
    </row>
    <row r="17" spans="1:14" ht="13.5" customHeight="1" x14ac:dyDescent="0.2">
      <c r="A17" s="14" t="s">
        <v>65</v>
      </c>
      <c r="B17" s="13"/>
      <c r="C17" s="13"/>
      <c r="D17" s="13"/>
      <c r="E17" s="13"/>
      <c r="F17" s="13"/>
      <c r="G17" s="15"/>
      <c r="H17" s="15"/>
      <c r="I17" s="15"/>
      <c r="J17" s="16"/>
      <c r="K17" s="15"/>
      <c r="L17" s="15"/>
      <c r="M17" s="4"/>
    </row>
    <row r="18" spans="1:14" ht="16.5" customHeight="1" x14ac:dyDescent="0.2">
      <c r="A18" s="17" t="s">
        <v>24</v>
      </c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</row>
    <row r="19" spans="1:14" ht="16.5" customHeight="1" x14ac:dyDescent="0.2">
      <c r="A19" s="18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20.25" customHeight="1" x14ac:dyDescent="0.2">
      <c r="A20" s="5" t="s">
        <v>63</v>
      </c>
      <c r="B20" s="5" t="s">
        <v>33</v>
      </c>
      <c r="C20" s="5"/>
      <c r="D20" s="5" t="s">
        <v>34</v>
      </c>
      <c r="E20" s="5"/>
      <c r="F20" s="5" t="s">
        <v>35</v>
      </c>
      <c r="G20" s="5"/>
      <c r="H20" s="5" t="s">
        <v>36</v>
      </c>
      <c r="I20" s="5"/>
      <c r="J20" s="5" t="s">
        <v>37</v>
      </c>
      <c r="K20" s="5"/>
      <c r="L20" s="5" t="s">
        <v>7</v>
      </c>
      <c r="M20" s="4"/>
    </row>
    <row r="21" spans="1:14" x14ac:dyDescent="0.2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/>
    </row>
    <row r="22" spans="1:14" ht="16.5" customHeight="1" x14ac:dyDescent="0.2">
      <c r="A22" s="4" t="s">
        <v>9</v>
      </c>
      <c r="B22" s="8">
        <f>L22*0.25</f>
        <v>7072.5</v>
      </c>
      <c r="C22" s="8"/>
      <c r="D22" s="8">
        <f>L22*0.333333</f>
        <v>9429.9905699999999</v>
      </c>
      <c r="E22" s="8"/>
      <c r="F22" s="8">
        <f>L22/2</f>
        <v>14145</v>
      </c>
      <c r="G22" s="8"/>
      <c r="H22" s="8">
        <f>L22*0.6666666</f>
        <v>18859.998113999998</v>
      </c>
      <c r="I22" s="8"/>
      <c r="J22" s="8">
        <f>L22*0.75</f>
        <v>21217.5</v>
      </c>
      <c r="K22" s="8"/>
      <c r="L22" s="8">
        <v>28290</v>
      </c>
      <c r="M22" s="4"/>
      <c r="N22" s="19"/>
    </row>
    <row r="23" spans="1:14" x14ac:dyDescent="0.2">
      <c r="A23" s="4" t="s">
        <v>10</v>
      </c>
      <c r="B23" s="8">
        <f>(B22+B25+B24)*0.0828</f>
        <v>823.38390000000004</v>
      </c>
      <c r="C23" s="8"/>
      <c r="D23" s="8">
        <f>(D22+D25+D24)*0.0828</f>
        <v>1097.8441849548001</v>
      </c>
      <c r="E23" s="8"/>
      <c r="F23" s="8">
        <f>(F22+F25+F24)*0.0828</f>
        <v>1646.7678000000001</v>
      </c>
      <c r="G23" s="8"/>
      <c r="H23" s="8">
        <f>(H22+H25+H24)*0.0828</f>
        <v>2195.6896097568001</v>
      </c>
      <c r="I23" s="8"/>
      <c r="J23" s="8">
        <f>(J22+J25+J24)*0.0828</f>
        <v>2470.1516999999999</v>
      </c>
      <c r="K23" s="8"/>
      <c r="L23" s="8">
        <f>(L22+L25+L24)*0.0828</f>
        <v>3293.5356000000002</v>
      </c>
      <c r="M23" s="4"/>
    </row>
    <row r="24" spans="1:14" x14ac:dyDescent="0.2">
      <c r="A24" s="4" t="s">
        <v>11</v>
      </c>
      <c r="B24" s="8">
        <f>L24*0.25</f>
        <v>750</v>
      </c>
      <c r="C24" s="8"/>
      <c r="D24" s="8">
        <f>L24/3</f>
        <v>1000</v>
      </c>
      <c r="E24" s="8"/>
      <c r="F24" s="8">
        <f>L24*0.5</f>
        <v>1500</v>
      </c>
      <c r="G24" s="8"/>
      <c r="H24" s="8">
        <f>L24*0.666666</f>
        <v>1999.998</v>
      </c>
      <c r="I24" s="8"/>
      <c r="J24" s="8">
        <f>L24*0.75</f>
        <v>2250</v>
      </c>
      <c r="K24" s="8"/>
      <c r="L24" s="8">
        <v>3000</v>
      </c>
      <c r="M24" s="4"/>
    </row>
    <row r="25" spans="1:14" x14ac:dyDescent="0.2">
      <c r="A25" s="4" t="s">
        <v>26</v>
      </c>
      <c r="B25" s="8">
        <f>L25*0.25</f>
        <v>2121.75</v>
      </c>
      <c r="C25" s="8"/>
      <c r="D25" s="8">
        <f>L25*0.333333</f>
        <v>2828.997171</v>
      </c>
      <c r="E25" s="8"/>
      <c r="F25" s="8">
        <f>L25*0.5</f>
        <v>4243.5</v>
      </c>
      <c r="G25" s="8"/>
      <c r="H25" s="8">
        <f>L25*0.666666</f>
        <v>5657.994342</v>
      </c>
      <c r="I25" s="8"/>
      <c r="J25" s="8">
        <f>L25*0.75</f>
        <v>6365.25</v>
      </c>
      <c r="K25" s="8"/>
      <c r="L25" s="8">
        <v>8487</v>
      </c>
      <c r="M25" s="4"/>
    </row>
    <row r="26" spans="1:14" x14ac:dyDescent="0.2">
      <c r="A26" s="4" t="s">
        <v>66</v>
      </c>
      <c r="B26" s="8">
        <f>L26*0.25</f>
        <v>1073.125</v>
      </c>
      <c r="C26" s="8"/>
      <c r="D26" s="8">
        <f>L26*0.33333</f>
        <v>1430.819025</v>
      </c>
      <c r="E26" s="8"/>
      <c r="F26" s="8">
        <f>L26*0.5</f>
        <v>2146.25</v>
      </c>
      <c r="G26" s="8"/>
      <c r="H26" s="8">
        <f>L26*0.666666</f>
        <v>2861.6638050000001</v>
      </c>
      <c r="I26" s="8"/>
      <c r="J26" s="8">
        <f>L26*0.75</f>
        <v>3219.375</v>
      </c>
      <c r="K26" s="8"/>
      <c r="L26" s="8">
        <f>8500*0.505</f>
        <v>4292.5</v>
      </c>
      <c r="M26" s="4" t="s">
        <v>16</v>
      </c>
    </row>
    <row r="27" spans="1:14" x14ac:dyDescent="0.2">
      <c r="A27" s="4" t="s">
        <v>17</v>
      </c>
      <c r="B27" s="8">
        <v>1000</v>
      </c>
      <c r="C27" s="8"/>
      <c r="D27" s="8">
        <v>1000</v>
      </c>
      <c r="E27" s="8"/>
      <c r="F27" s="8">
        <v>1000</v>
      </c>
      <c r="G27" s="8"/>
      <c r="H27" s="8">
        <v>1000</v>
      </c>
      <c r="I27" s="8"/>
      <c r="J27" s="8">
        <v>1000</v>
      </c>
      <c r="K27" s="8"/>
      <c r="L27" s="8">
        <v>1000</v>
      </c>
      <c r="M27" s="4"/>
    </row>
    <row r="28" spans="1:14" x14ac:dyDescent="0.2">
      <c r="A28" s="4" t="s">
        <v>27</v>
      </c>
      <c r="B28" s="8">
        <f>((B22+B24+B25)*35/10)*0.195</f>
        <v>6786.9506250000004</v>
      </c>
      <c r="C28" s="8"/>
      <c r="D28" s="8">
        <f>((D22+D24+D25)*35/13.33333)*0.195</f>
        <v>6786.946046660888</v>
      </c>
      <c r="E28" s="8"/>
      <c r="F28" s="8">
        <f>((F22+F24+F25)*35/20)*0.195</f>
        <v>6786.9506250000004</v>
      </c>
      <c r="G28" s="8"/>
      <c r="H28" s="8">
        <f>((H22+H24+H25)*35/26.66666)*0.195</f>
        <v>6786.9498790699699</v>
      </c>
      <c r="I28" s="8"/>
      <c r="J28" s="20">
        <f>((J22+J24+J25)*35/30)*0.195</f>
        <v>6786.9506250000004</v>
      </c>
      <c r="K28" s="8"/>
      <c r="L28" s="20">
        <f>(L22+L24+L25)*0.195</f>
        <v>7756.5150000000003</v>
      </c>
      <c r="M28" s="4"/>
    </row>
    <row r="29" spans="1:14" x14ac:dyDescent="0.2">
      <c r="A29" s="4" t="s">
        <v>28</v>
      </c>
      <c r="B29" s="11">
        <f>(12250*0.12)</f>
        <v>1470</v>
      </c>
      <c r="C29" s="8"/>
      <c r="D29" s="11">
        <f>((D22+D24+D25)*0.12)</f>
        <v>1591.0785289200001</v>
      </c>
      <c r="E29" s="8"/>
      <c r="F29" s="11">
        <f>((F22+F24+F25)*0.12)</f>
        <v>2386.62</v>
      </c>
      <c r="G29" s="8"/>
      <c r="H29" s="11">
        <f>((H22+H24+H25)*0.12)</f>
        <v>3182.1588547199999</v>
      </c>
      <c r="I29" s="8"/>
      <c r="J29" s="11">
        <f>((J22+J24+J25)*0.12)</f>
        <v>3579.93</v>
      </c>
      <c r="K29" s="8"/>
      <c r="L29" s="11">
        <f>((L22+L24)+L25)*0.12</f>
        <v>4773.24</v>
      </c>
      <c r="M29" s="4"/>
    </row>
    <row r="30" spans="1:14" ht="20.25" customHeight="1" x14ac:dyDescent="0.2">
      <c r="A30" s="4" t="s">
        <v>29</v>
      </c>
      <c r="B30" s="8">
        <f>SUM(B22:B29)</f>
        <v>21097.709525000002</v>
      </c>
      <c r="C30" s="8"/>
      <c r="D30" s="8">
        <f>SUM(D22:D29)</f>
        <v>25165.675526535688</v>
      </c>
      <c r="E30" s="8"/>
      <c r="F30" s="8">
        <f>SUM(F22:F29)</f>
        <v>33855.088425000002</v>
      </c>
      <c r="G30" s="8"/>
      <c r="H30" s="8">
        <f>SUM(H22:H29)</f>
        <v>42544.452604546765</v>
      </c>
      <c r="I30" s="8"/>
      <c r="J30" s="8">
        <f>SUM(J22:J29)</f>
        <v>46889.157325</v>
      </c>
      <c r="K30" s="8"/>
      <c r="L30" s="8">
        <f>SUM(L22:L29)</f>
        <v>60892.7906</v>
      </c>
      <c r="M30" s="4"/>
    </row>
    <row r="31" spans="1:14" ht="6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4" ht="12.75" customHeight="1" x14ac:dyDescent="0.2">
      <c r="A32" s="13" t="s">
        <v>53</v>
      </c>
    </row>
    <row r="33" spans="1:13" ht="12.75" customHeight="1" x14ac:dyDescent="0.2">
      <c r="A33" s="14" t="s">
        <v>67</v>
      </c>
      <c r="B33" s="13"/>
      <c r="C33" s="13"/>
      <c r="D33" s="13"/>
      <c r="E33" s="13"/>
      <c r="F33" s="13"/>
      <c r="G33" s="15"/>
      <c r="H33" s="15"/>
      <c r="I33" s="15"/>
      <c r="J33" s="16"/>
      <c r="K33" s="15"/>
      <c r="L33" s="15"/>
      <c r="M33" s="4"/>
    </row>
    <row r="34" spans="1:13" ht="15.75" customHeight="1" x14ac:dyDescent="0.2">
      <c r="A34" s="17" t="s">
        <v>24</v>
      </c>
      <c r="D34" s="19"/>
      <c r="J34" s="19"/>
      <c r="L34" s="20"/>
    </row>
    <row r="35" spans="1:13" x14ac:dyDescent="0.2">
      <c r="B35" s="20"/>
      <c r="D35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" workbookViewId="0">
      <pane xSplit="1" topLeftCell="B1" activePane="topRight" state="frozen"/>
      <selection activeCell="A2" sqref="A2"/>
      <selection pane="topRight" activeCell="L5" sqref="L5"/>
    </sheetView>
  </sheetViews>
  <sheetFormatPr defaultRowHeight="12.75" x14ac:dyDescent="0.2"/>
  <cols>
    <col min="1" max="1" width="19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8.5703125" customWidth="1"/>
    <col min="14" max="14" width="10.28515625" customWidth="1"/>
  </cols>
  <sheetData>
    <row r="1" spans="1:15" s="2" customFormat="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4" customHeight="1" x14ac:dyDescent="0.2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x14ac:dyDescent="0.2">
      <c r="A3" s="5" t="s">
        <v>63</v>
      </c>
      <c r="B3" s="5" t="s">
        <v>33</v>
      </c>
      <c r="C3" s="5"/>
      <c r="D3" s="5" t="s">
        <v>34</v>
      </c>
      <c r="E3" s="5"/>
      <c r="F3" s="5" t="s">
        <v>35</v>
      </c>
      <c r="G3" s="5"/>
      <c r="H3" s="5" t="s">
        <v>36</v>
      </c>
      <c r="I3" s="5"/>
      <c r="J3" s="5" t="s">
        <v>37</v>
      </c>
      <c r="K3" s="5"/>
      <c r="L3" s="5" t="s">
        <v>7</v>
      </c>
      <c r="M3" s="4"/>
    </row>
    <row r="4" spans="1:15" x14ac:dyDescent="0.2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5" ht="15.75" customHeight="1" x14ac:dyDescent="0.2">
      <c r="A5" s="4" t="s">
        <v>9</v>
      </c>
      <c r="B5" s="8">
        <f>L5*0.25</f>
        <v>7072.5</v>
      </c>
      <c r="C5" s="8"/>
      <c r="D5" s="8">
        <f>L5/3</f>
        <v>9430</v>
      </c>
      <c r="E5" s="8"/>
      <c r="F5" s="8">
        <f>L5/2</f>
        <v>14145</v>
      </c>
      <c r="G5" s="8"/>
      <c r="H5" s="8">
        <f>L5*2/3</f>
        <v>18860</v>
      </c>
      <c r="I5" s="8"/>
      <c r="J5" s="8">
        <f>L5*0.75</f>
        <v>21217.5</v>
      </c>
      <c r="K5" s="8"/>
      <c r="L5" s="8">
        <v>28290</v>
      </c>
      <c r="M5" s="9"/>
    </row>
    <row r="6" spans="1:15" x14ac:dyDescent="0.2">
      <c r="A6" s="4" t="s">
        <v>10</v>
      </c>
      <c r="B6" s="8">
        <f>(B5+B8+B7)*0.0828</f>
        <v>1144.5029999999999</v>
      </c>
      <c r="C6" s="8"/>
      <c r="D6" s="8">
        <f>(D5+D8+D7)*0.0828</f>
        <v>1360.403172</v>
      </c>
      <c r="E6" s="8"/>
      <c r="F6" s="8">
        <f>(F5+F8+F7)*0.0828</f>
        <v>1792.2059999999999</v>
      </c>
      <c r="G6" s="8"/>
      <c r="H6" s="8">
        <f>(H5+H8+H7)*0.0828</f>
        <v>2224.0078343999999</v>
      </c>
      <c r="I6" s="8"/>
      <c r="J6" s="8">
        <f>(J5+J8+J7)*0.0828</f>
        <v>2439.9090000000001</v>
      </c>
      <c r="K6" s="8"/>
      <c r="L6" s="8">
        <f>(L5+L8+L7)*0.0828</f>
        <v>3087.6120000000001</v>
      </c>
      <c r="M6" s="4"/>
    </row>
    <row r="7" spans="1:15" x14ac:dyDescent="0.2">
      <c r="A7" s="4" t="s">
        <v>11</v>
      </c>
      <c r="B7" s="8">
        <f>L7*0.25</f>
        <v>750</v>
      </c>
      <c r="C7" s="8"/>
      <c r="D7" s="8">
        <f>L7*0.33333</f>
        <v>999.99</v>
      </c>
      <c r="E7" s="8"/>
      <c r="F7" s="8">
        <f>L7*0.5</f>
        <v>1500</v>
      </c>
      <c r="G7" s="8"/>
      <c r="H7" s="8">
        <f>L7*0.666666</f>
        <v>1999.998</v>
      </c>
      <c r="I7" s="8"/>
      <c r="J7" s="8">
        <f>L7*0.75</f>
        <v>2250</v>
      </c>
      <c r="K7" s="8"/>
      <c r="L7" s="8">
        <v>3000</v>
      </c>
      <c r="M7" s="4"/>
    </row>
    <row r="8" spans="1:15" x14ac:dyDescent="0.2">
      <c r="A8" s="4" t="s">
        <v>13</v>
      </c>
      <c r="B8" s="8">
        <v>6000</v>
      </c>
      <c r="C8" s="8"/>
      <c r="D8" s="8">
        <v>6000</v>
      </c>
      <c r="E8" s="8"/>
      <c r="F8" s="8">
        <v>6000</v>
      </c>
      <c r="G8" s="8"/>
      <c r="H8" s="8">
        <v>6000</v>
      </c>
      <c r="I8" s="8"/>
      <c r="J8" s="8">
        <v>6000</v>
      </c>
      <c r="K8" s="8"/>
      <c r="L8" s="8">
        <v>6000</v>
      </c>
      <c r="M8" s="4"/>
    </row>
    <row r="9" spans="1:15" x14ac:dyDescent="0.2">
      <c r="A9" s="4" t="s">
        <v>64</v>
      </c>
      <c r="B9" s="8">
        <f>L9*0.25</f>
        <v>1073.125</v>
      </c>
      <c r="C9" s="8"/>
      <c r="D9" s="8">
        <f>L9*0.33333</f>
        <v>1430.819025</v>
      </c>
      <c r="E9" s="8"/>
      <c r="F9" s="8">
        <f>L9*0.5</f>
        <v>2146.25</v>
      </c>
      <c r="G9" s="8"/>
      <c r="H9" s="8">
        <f>L9*0.666666</f>
        <v>2861.6638050000001</v>
      </c>
      <c r="I9" s="8"/>
      <c r="J9" s="8">
        <f>L9*0.75</f>
        <v>3219.375</v>
      </c>
      <c r="K9" s="8"/>
      <c r="L9" s="8">
        <f>8500*0.505</f>
        <v>4292.5</v>
      </c>
      <c r="M9" s="4" t="s">
        <v>16</v>
      </c>
    </row>
    <row r="10" spans="1:15" x14ac:dyDescent="0.2">
      <c r="A10" s="4" t="s">
        <v>17</v>
      </c>
      <c r="B10" s="8">
        <v>1000</v>
      </c>
      <c r="C10" s="8"/>
      <c r="D10" s="8">
        <v>1000</v>
      </c>
      <c r="E10" s="8"/>
      <c r="F10" s="8">
        <v>1000</v>
      </c>
      <c r="G10" s="8"/>
      <c r="H10" s="8">
        <v>1000</v>
      </c>
      <c r="I10" s="8"/>
      <c r="J10" s="8">
        <v>1000</v>
      </c>
      <c r="K10" s="8"/>
      <c r="L10" s="8">
        <v>1000</v>
      </c>
      <c r="M10" s="4"/>
    </row>
    <row r="11" spans="1:15" x14ac:dyDescent="0.2">
      <c r="A11" s="4" t="s">
        <v>18</v>
      </c>
      <c r="B11" s="8">
        <f>(((B5+B7)*1.3)*35/10)*0.195</f>
        <v>6940.5131250000004</v>
      </c>
      <c r="C11" s="8"/>
      <c r="D11" s="8">
        <f>(((D5+D7)*1.3)*35/13.33333)*0.195</f>
        <v>6940.5082057520522</v>
      </c>
      <c r="E11" s="8"/>
      <c r="F11" s="8">
        <f>(((F5+F7)*1.3)*35/20)*0.195</f>
        <v>6940.5131250000004</v>
      </c>
      <c r="G11" s="8"/>
      <c r="H11" s="8">
        <f>(((H5+H7)*1.3)*35/26.66666)*0.195</f>
        <v>6940.5141946910499</v>
      </c>
      <c r="I11" s="8"/>
      <c r="J11" s="8">
        <f>(((J5+J7)*1.3)*35/30)*0.195</f>
        <v>6940.5131250000004</v>
      </c>
      <c r="K11" s="8"/>
      <c r="L11" s="8">
        <f>((L5+L7)*1.3)*0.195</f>
        <v>7932.0150000000003</v>
      </c>
      <c r="M11" s="4"/>
      <c r="O11">
        <f>29575*0.19</f>
        <v>5619.25</v>
      </c>
    </row>
    <row r="12" spans="1:15" x14ac:dyDescent="0.2">
      <c r="A12" s="4" t="s">
        <v>19</v>
      </c>
      <c r="B12" s="11">
        <f>12250*0.12</f>
        <v>1470</v>
      </c>
      <c r="C12" s="8"/>
      <c r="D12" s="11">
        <f>((D5+D7)*0.3+D5+D7)*0.12</f>
        <v>1627.0784399999998</v>
      </c>
      <c r="E12" s="8"/>
      <c r="F12" s="11">
        <f>((F5+F7)*0.3+F5+F7)*0.12</f>
        <v>2440.62</v>
      </c>
      <c r="G12" s="8"/>
      <c r="H12" s="11">
        <f>((H5+H7)*0.3+H5+H7)*0.12</f>
        <v>3254.1596879999997</v>
      </c>
      <c r="I12" s="8"/>
      <c r="J12" s="11">
        <f>((J5+J7)*0.3+J5+J7)*0.12</f>
        <v>3660.93</v>
      </c>
      <c r="K12" s="8"/>
      <c r="L12" s="11">
        <f>((L5+L7)*0.3+L5+L7)*0.12</f>
        <v>4881.24</v>
      </c>
      <c r="M12" s="4"/>
    </row>
    <row r="13" spans="1:15" ht="20.25" customHeight="1" x14ac:dyDescent="0.2">
      <c r="A13" s="4" t="s">
        <v>20</v>
      </c>
      <c r="B13" s="8">
        <f>SUM(B5:B12)-B8</f>
        <v>19450.641125000002</v>
      </c>
      <c r="C13" s="8"/>
      <c r="D13" s="8">
        <f>SUM(D5:D12)-D8</f>
        <v>22788.798842752054</v>
      </c>
      <c r="E13" s="8"/>
      <c r="F13" s="8">
        <f>SUM(F5:F12)-F8</f>
        <v>29964.589124999999</v>
      </c>
      <c r="G13" s="8"/>
      <c r="H13" s="8">
        <f>SUM(H5:H12)-H8</f>
        <v>37140.343522091054</v>
      </c>
      <c r="I13" s="8"/>
      <c r="J13" s="8">
        <f>SUM(J5:J12)-J8</f>
        <v>40728.227124999998</v>
      </c>
      <c r="K13" s="8"/>
      <c r="L13" s="8">
        <f>SUM(L5:L12)-L8</f>
        <v>52483.366999999998</v>
      </c>
      <c r="M13" s="4"/>
    </row>
    <row r="14" spans="1:15" ht="6.7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5" ht="19.5" customHeight="1" x14ac:dyDescent="0.2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ht="15.75" customHeight="1" x14ac:dyDescent="0.2">
      <c r="A16" s="13" t="s">
        <v>51</v>
      </c>
    </row>
    <row r="17" spans="1:14" ht="13.5" customHeight="1" x14ac:dyDescent="0.2">
      <c r="A17" s="14" t="s">
        <v>65</v>
      </c>
      <c r="B17" s="13"/>
      <c r="C17" s="13"/>
      <c r="D17" s="13"/>
      <c r="E17" s="13"/>
      <c r="F17" s="13"/>
      <c r="G17" s="15"/>
      <c r="H17" s="15"/>
      <c r="I17" s="15"/>
      <c r="J17" s="16"/>
      <c r="K17" s="15"/>
      <c r="L17" s="15"/>
      <c r="M17" s="4"/>
    </row>
    <row r="18" spans="1:14" ht="16.5" customHeight="1" x14ac:dyDescent="0.2">
      <c r="A18" s="17" t="s">
        <v>24</v>
      </c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</row>
    <row r="19" spans="1:14" ht="16.5" customHeight="1" x14ac:dyDescent="0.2">
      <c r="A19" s="18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</row>
    <row r="20" spans="1:14" ht="20.25" customHeight="1" x14ac:dyDescent="0.2">
      <c r="A20" s="5" t="s">
        <v>63</v>
      </c>
      <c r="B20" s="5" t="s">
        <v>33</v>
      </c>
      <c r="C20" s="5"/>
      <c r="D20" s="5" t="s">
        <v>34</v>
      </c>
      <c r="E20" s="5"/>
      <c r="F20" s="5" t="s">
        <v>35</v>
      </c>
      <c r="G20" s="5"/>
      <c r="H20" s="5" t="s">
        <v>36</v>
      </c>
      <c r="I20" s="5"/>
      <c r="J20" s="5" t="s">
        <v>37</v>
      </c>
      <c r="K20" s="5"/>
      <c r="L20" s="5" t="s">
        <v>7</v>
      </c>
      <c r="M20" s="4"/>
    </row>
    <row r="21" spans="1:14" x14ac:dyDescent="0.2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/>
    </row>
    <row r="22" spans="1:14" ht="16.5" customHeight="1" x14ac:dyDescent="0.2">
      <c r="A22" s="4" t="s">
        <v>9</v>
      </c>
      <c r="B22" s="8">
        <f>L22*0.25</f>
        <v>7072.5</v>
      </c>
      <c r="C22" s="8"/>
      <c r="D22" s="8">
        <f>L22*0.333333</f>
        <v>9429.9905699999999</v>
      </c>
      <c r="E22" s="8"/>
      <c r="F22" s="8">
        <f>L22/2</f>
        <v>14145</v>
      </c>
      <c r="G22" s="8"/>
      <c r="H22" s="8">
        <f>L22*0.6666666</f>
        <v>18859.998113999998</v>
      </c>
      <c r="I22" s="8"/>
      <c r="J22" s="8">
        <f>L22*0.75</f>
        <v>21217.5</v>
      </c>
      <c r="K22" s="8"/>
      <c r="L22" s="8">
        <v>28290</v>
      </c>
      <c r="M22" s="4"/>
      <c r="N22" s="19"/>
    </row>
    <row r="23" spans="1:14" x14ac:dyDescent="0.2">
      <c r="A23" s="4" t="s">
        <v>10</v>
      </c>
      <c r="B23" s="8">
        <f>(B22+B25+B24)*0.0828</f>
        <v>823.38390000000004</v>
      </c>
      <c r="C23" s="8"/>
      <c r="D23" s="8">
        <f>(D22+D25+D24)*0.0828</f>
        <v>1097.8441849548001</v>
      </c>
      <c r="E23" s="8"/>
      <c r="F23" s="8">
        <f>(F22+F25+F24)*0.0828</f>
        <v>1646.7678000000001</v>
      </c>
      <c r="G23" s="8"/>
      <c r="H23" s="8">
        <f>(H22+H25+H24)*0.0828</f>
        <v>2195.6896097568001</v>
      </c>
      <c r="I23" s="8"/>
      <c r="J23" s="8">
        <f>(J22+J25+J24)*0.0828</f>
        <v>2470.1516999999999</v>
      </c>
      <c r="K23" s="8"/>
      <c r="L23" s="8">
        <f>(L22+L25+L24)*0.0828</f>
        <v>3293.5356000000002</v>
      </c>
      <c r="M23" s="4"/>
    </row>
    <row r="24" spans="1:14" x14ac:dyDescent="0.2">
      <c r="A24" s="4" t="s">
        <v>11</v>
      </c>
      <c r="B24" s="8">
        <f>L24*0.25</f>
        <v>750</v>
      </c>
      <c r="C24" s="8"/>
      <c r="D24" s="8">
        <f>L24/3</f>
        <v>1000</v>
      </c>
      <c r="E24" s="8"/>
      <c r="F24" s="8">
        <f>L24*0.5</f>
        <v>1500</v>
      </c>
      <c r="G24" s="8"/>
      <c r="H24" s="8">
        <f>L24*0.666666</f>
        <v>1999.998</v>
      </c>
      <c r="I24" s="8"/>
      <c r="J24" s="8">
        <f>L24*0.75</f>
        <v>2250</v>
      </c>
      <c r="K24" s="8"/>
      <c r="L24" s="8">
        <v>3000</v>
      </c>
      <c r="M24" s="4"/>
    </row>
    <row r="25" spans="1:14" x14ac:dyDescent="0.2">
      <c r="A25" s="4" t="s">
        <v>26</v>
      </c>
      <c r="B25" s="8">
        <f>L25*0.25</f>
        <v>2121.75</v>
      </c>
      <c r="C25" s="8"/>
      <c r="D25" s="8">
        <f>L25*0.333333</f>
        <v>2828.997171</v>
      </c>
      <c r="E25" s="8"/>
      <c r="F25" s="8">
        <f>L25*0.5</f>
        <v>4243.5</v>
      </c>
      <c r="G25" s="8"/>
      <c r="H25" s="8">
        <f>L25*0.666666</f>
        <v>5657.994342</v>
      </c>
      <c r="I25" s="8"/>
      <c r="J25" s="8">
        <f>L25*0.75</f>
        <v>6365.25</v>
      </c>
      <c r="K25" s="8"/>
      <c r="L25" s="8">
        <v>8487</v>
      </c>
      <c r="M25" s="4"/>
    </row>
    <row r="26" spans="1:14" x14ac:dyDescent="0.2">
      <c r="A26" s="4" t="s">
        <v>66</v>
      </c>
      <c r="B26" s="8">
        <f>L26*0.25</f>
        <v>1073.125</v>
      </c>
      <c r="C26" s="8"/>
      <c r="D26" s="8">
        <f>L26*0.33333</f>
        <v>1430.819025</v>
      </c>
      <c r="E26" s="8"/>
      <c r="F26" s="8">
        <f>L26*0.5</f>
        <v>2146.25</v>
      </c>
      <c r="G26" s="8"/>
      <c r="H26" s="8">
        <f>L26*0.666666</f>
        <v>2861.6638050000001</v>
      </c>
      <c r="I26" s="8"/>
      <c r="J26" s="8">
        <f>L26*0.75</f>
        <v>3219.375</v>
      </c>
      <c r="K26" s="8"/>
      <c r="L26" s="8">
        <f>8500*0.505</f>
        <v>4292.5</v>
      </c>
      <c r="M26" s="4" t="s">
        <v>16</v>
      </c>
    </row>
    <row r="27" spans="1:14" x14ac:dyDescent="0.2">
      <c r="A27" s="4" t="s">
        <v>17</v>
      </c>
      <c r="B27" s="8">
        <v>1000</v>
      </c>
      <c r="C27" s="8"/>
      <c r="D27" s="8">
        <v>1000</v>
      </c>
      <c r="E27" s="8"/>
      <c r="F27" s="8">
        <v>1000</v>
      </c>
      <c r="G27" s="8"/>
      <c r="H27" s="8">
        <v>1000</v>
      </c>
      <c r="I27" s="8"/>
      <c r="J27" s="8">
        <v>1000</v>
      </c>
      <c r="K27" s="8"/>
      <c r="L27" s="8">
        <v>1000</v>
      </c>
      <c r="M27" s="4"/>
    </row>
    <row r="28" spans="1:14" x14ac:dyDescent="0.2">
      <c r="A28" s="4" t="s">
        <v>27</v>
      </c>
      <c r="B28" s="8">
        <f>((B22+B24+B25)*35/10)*0.195</f>
        <v>6786.9506250000004</v>
      </c>
      <c r="C28" s="8"/>
      <c r="D28" s="8">
        <f>((D22+D24+D25)*35/13.33333)*0.195</f>
        <v>6786.946046660888</v>
      </c>
      <c r="E28" s="8"/>
      <c r="F28" s="8">
        <f>((F22+F24+F25)*35/20)*0.195</f>
        <v>6786.9506250000004</v>
      </c>
      <c r="G28" s="8"/>
      <c r="H28" s="8">
        <f>((H22+H24+H25)*35/26.66666)*0.195</f>
        <v>6786.9498790699699</v>
      </c>
      <c r="I28" s="8"/>
      <c r="J28" s="20">
        <f>((J22+J24+J25)*35/30)*0.195</f>
        <v>6786.9506250000004</v>
      </c>
      <c r="K28" s="8"/>
      <c r="L28" s="20">
        <f>(L22+L24+L25)*0.195</f>
        <v>7756.5150000000003</v>
      </c>
      <c r="M28" s="4"/>
    </row>
    <row r="29" spans="1:14" x14ac:dyDescent="0.2">
      <c r="A29" s="4" t="s">
        <v>28</v>
      </c>
      <c r="B29" s="11">
        <f>(12250*0.12)</f>
        <v>1470</v>
      </c>
      <c r="C29" s="8"/>
      <c r="D29" s="11">
        <f>((D22+D24+D25)*0.12)</f>
        <v>1591.0785289200001</v>
      </c>
      <c r="E29" s="8"/>
      <c r="F29" s="11">
        <f>((F22+F24+F25)*0.12)</f>
        <v>2386.62</v>
      </c>
      <c r="G29" s="8"/>
      <c r="H29" s="11">
        <f>((H22+H24+H25)*0.12)</f>
        <v>3182.1588547199999</v>
      </c>
      <c r="I29" s="8"/>
      <c r="J29" s="11">
        <f>((J22+J24+J25)*0.12)</f>
        <v>3579.93</v>
      </c>
      <c r="K29" s="8"/>
      <c r="L29" s="11">
        <f>((L22+L24)+L25)*0.12</f>
        <v>4773.24</v>
      </c>
      <c r="M29" s="4"/>
    </row>
    <row r="30" spans="1:14" ht="20.25" customHeight="1" x14ac:dyDescent="0.2">
      <c r="A30" s="4" t="s">
        <v>29</v>
      </c>
      <c r="B30" s="8">
        <f>SUM(B22:B29)</f>
        <v>21097.709525000002</v>
      </c>
      <c r="C30" s="8"/>
      <c r="D30" s="8">
        <f>SUM(D22:D29)</f>
        <v>25165.675526535688</v>
      </c>
      <c r="E30" s="8"/>
      <c r="F30" s="8">
        <f>SUM(F22:F29)</f>
        <v>33855.088425000002</v>
      </c>
      <c r="G30" s="8"/>
      <c r="H30" s="8">
        <f>SUM(H22:H29)</f>
        <v>42544.452604546765</v>
      </c>
      <c r="I30" s="8"/>
      <c r="J30" s="8">
        <f>SUM(J22:J29)</f>
        <v>46889.157325</v>
      </c>
      <c r="K30" s="8"/>
      <c r="L30" s="8">
        <f>SUM(L22:L29)</f>
        <v>60892.7906</v>
      </c>
      <c r="M30" s="4"/>
    </row>
    <row r="31" spans="1:14" ht="6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4" ht="12.75" customHeight="1" x14ac:dyDescent="0.2">
      <c r="A32" s="13" t="s">
        <v>53</v>
      </c>
    </row>
    <row r="33" spans="1:13" ht="12.75" customHeight="1" x14ac:dyDescent="0.2">
      <c r="A33" s="14" t="s">
        <v>67</v>
      </c>
      <c r="B33" s="13"/>
      <c r="C33" s="13"/>
      <c r="D33" s="13"/>
      <c r="E33" s="13"/>
      <c r="F33" s="13"/>
      <c r="G33" s="15"/>
      <c r="H33" s="15"/>
      <c r="I33" s="15"/>
      <c r="J33" s="16"/>
      <c r="K33" s="15"/>
      <c r="L33" s="15"/>
      <c r="M33" s="4"/>
    </row>
    <row r="34" spans="1:13" ht="15.75" customHeight="1" x14ac:dyDescent="0.2">
      <c r="A34" s="17" t="s">
        <v>24</v>
      </c>
      <c r="D34" s="19"/>
      <c r="J34" s="19"/>
      <c r="L34" s="20"/>
    </row>
    <row r="35" spans="1:13" x14ac:dyDescent="0.2">
      <c r="B35" s="20"/>
      <c r="D35" s="20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2015</vt:lpstr>
      <vt:lpstr>2014</vt:lpstr>
      <vt:lpstr>2013 (2)</vt:lpstr>
      <vt:lpstr>2012 (2)</vt:lpstr>
      <vt:lpstr>2011</vt:lpstr>
      <vt:lpstr>2010</vt:lpstr>
      <vt:lpstr>2009</vt:lpstr>
      <vt:lpstr>2008</vt:lpstr>
      <vt:lpstr>2007 (2)</vt:lpstr>
      <vt:lpstr>2006 (2)</vt:lpstr>
      <vt:lpstr>2005 (2)</vt:lpstr>
      <vt:lpstr>2004 (2)</vt:lpstr>
      <vt:lpstr>2003 (2)</vt:lpstr>
      <vt:lpstr>2002 (2)</vt:lpstr>
      <vt:lpstr>2001 (2)</vt:lpstr>
      <vt:lpstr>1999</vt:lpstr>
      <vt:lpstr>'1999'!Print_Area</vt:lpstr>
      <vt:lpstr>'2001 (2)'!Print_Area</vt:lpstr>
      <vt:lpstr>'2002 (2)'!Print_Area</vt:lpstr>
      <vt:lpstr>'2003 (2)'!Print_Area</vt:lpstr>
      <vt:lpstr>'2004 (2)'!Print_Area</vt:lpstr>
      <vt:lpstr>'2005 (2)'!Print_Area</vt:lpstr>
      <vt:lpstr>'2006 (2)'!Print_Area</vt:lpstr>
      <vt:lpstr>'2007 (2)'!Print_Area</vt:lpstr>
      <vt:lpstr>'2008'!Print_Area</vt:lpstr>
      <vt:lpstr>'2009'!Print_Area</vt:lpstr>
      <vt:lpstr>'2010'!Print_Area</vt:lpstr>
      <vt:lpstr>'2011'!Print_Area</vt:lpstr>
      <vt:lpstr>'2012 (2)'!Print_Area</vt:lpstr>
      <vt:lpstr>'2013 (2)'!Print_Area</vt:lpstr>
      <vt:lpstr>'2014'!Print_Area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Poole</dc:creator>
  <cp:lastModifiedBy>Leslie Curtis</cp:lastModifiedBy>
  <cp:lastPrinted>2014-12-11T15:19:24Z</cp:lastPrinted>
  <dcterms:created xsi:type="dcterms:W3CDTF">2014-11-03T22:22:19Z</dcterms:created>
  <dcterms:modified xsi:type="dcterms:W3CDTF">2014-12-11T15:21:15Z</dcterms:modified>
</cp:coreProperties>
</file>